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Sheet1" sheetId="1" r:id="rId1"/>
  </sheets>
  <definedNames>
    <definedName name="_xlnm._FilterDatabase" localSheetId="0" hidden="1">Sheet1!$A$1:$O$4641</definedName>
  </definedNames>
  <calcPr calcId="125725"/>
</workbook>
</file>

<file path=xl/calcChain.xml><?xml version="1.0" encoding="utf-8"?>
<calcChain xmlns="http://schemas.openxmlformats.org/spreadsheetml/2006/main">
  <c r="B4641" i="1"/>
  <c r="B4640"/>
  <c r="B4639"/>
  <c r="B4638"/>
  <c r="B4637"/>
  <c r="B4636"/>
  <c r="B4635"/>
  <c r="B4634"/>
  <c r="B4633"/>
  <c r="B4632"/>
  <c r="B4631"/>
  <c r="B4630"/>
  <c r="B4629"/>
  <c r="B4628"/>
  <c r="B4627"/>
  <c r="B4626"/>
  <c r="B4625"/>
  <c r="B4624"/>
  <c r="B4623"/>
  <c r="B4622"/>
  <c r="B4621"/>
  <c r="B4620"/>
  <c r="B4619"/>
  <c r="B4618"/>
  <c r="B4617"/>
  <c r="B4616"/>
  <c r="B4615"/>
  <c r="B4614"/>
  <c r="B4613"/>
  <c r="B4612"/>
  <c r="B4611"/>
  <c r="B4610"/>
  <c r="B4609"/>
  <c r="B4608"/>
  <c r="B4607"/>
  <c r="B4606"/>
  <c r="B4605"/>
  <c r="B4604"/>
  <c r="B4603"/>
  <c r="B4602"/>
  <c r="B4601"/>
  <c r="B4600"/>
  <c r="B4599"/>
  <c r="B4598"/>
  <c r="B4597"/>
  <c r="B4596"/>
  <c r="B4595"/>
  <c r="B4594"/>
  <c r="B4593"/>
  <c r="B4592"/>
  <c r="B4591"/>
  <c r="B4590"/>
  <c r="B4589"/>
  <c r="B4588"/>
  <c r="B4587"/>
  <c r="B4586"/>
  <c r="B4585"/>
  <c r="B4584"/>
  <c r="B4583"/>
  <c r="B4582"/>
  <c r="B4581"/>
  <c r="B4580"/>
  <c r="B4579"/>
  <c r="B4578"/>
  <c r="B4577"/>
  <c r="B4576"/>
  <c r="B4575"/>
  <c r="B4574"/>
  <c r="B4573"/>
  <c r="B4572"/>
  <c r="B4571"/>
  <c r="B4570"/>
  <c r="B4569"/>
  <c r="B4568"/>
  <c r="B4567"/>
  <c r="B4566"/>
  <c r="B4565"/>
  <c r="B4564"/>
  <c r="B4563"/>
  <c r="B4562"/>
  <c r="B4561"/>
  <c r="B4560"/>
  <c r="B4559"/>
  <c r="B4558"/>
  <c r="B4557"/>
  <c r="B4556"/>
  <c r="B4555"/>
  <c r="B4554"/>
  <c r="B4553"/>
  <c r="B4552"/>
  <c r="B4551"/>
  <c r="B4550"/>
  <c r="B4549"/>
  <c r="B4548"/>
  <c r="B4547"/>
  <c r="B4546"/>
  <c r="B4545"/>
  <c r="B4544"/>
  <c r="B4543"/>
  <c r="B4542"/>
  <c r="B4541"/>
  <c r="B4540"/>
  <c r="B4539"/>
  <c r="B4538"/>
  <c r="B4537"/>
  <c r="B4536"/>
  <c r="B4535"/>
  <c r="B4534"/>
  <c r="B4533"/>
  <c r="B4532"/>
  <c r="B4531"/>
  <c r="B4530"/>
  <c r="B4529"/>
  <c r="B4528"/>
  <c r="B4527"/>
  <c r="B4526"/>
  <c r="B4525"/>
  <c r="B4524"/>
  <c r="B4523"/>
  <c r="B4522"/>
  <c r="B4521"/>
  <c r="B4520"/>
  <c r="B4519"/>
  <c r="B4518"/>
  <c r="B4517"/>
  <c r="B4516"/>
  <c r="B4515"/>
  <c r="B4514"/>
  <c r="B4513"/>
  <c r="B4512"/>
  <c r="B4511"/>
  <c r="B4510"/>
  <c r="B4509"/>
  <c r="B4508"/>
  <c r="B4507"/>
  <c r="B4506"/>
  <c r="B4505"/>
  <c r="B4504"/>
  <c r="B4503"/>
  <c r="B4502"/>
  <c r="B4501"/>
  <c r="B4500"/>
  <c r="B4499"/>
  <c r="B4498"/>
  <c r="B4497"/>
  <c r="B4496"/>
  <c r="B4495"/>
  <c r="B4494"/>
  <c r="B4493"/>
  <c r="B4492"/>
  <c r="B4491"/>
  <c r="B4490"/>
  <c r="B4489"/>
  <c r="B4488"/>
  <c r="B4487"/>
  <c r="B4486"/>
  <c r="B4485"/>
  <c r="B4484"/>
  <c r="B4483"/>
  <c r="B4482"/>
  <c r="B4481"/>
  <c r="B4480"/>
  <c r="B4479"/>
  <c r="B4478"/>
  <c r="B4477"/>
  <c r="B4476"/>
  <c r="B4475"/>
  <c r="B4474"/>
  <c r="B4473"/>
  <c r="B4472"/>
  <c r="B4471"/>
  <c r="B4470"/>
  <c r="B4469"/>
  <c r="B4468"/>
  <c r="B4467"/>
  <c r="B4466"/>
  <c r="B4465"/>
  <c r="B4464"/>
  <c r="B4463"/>
  <c r="B4462"/>
  <c r="B4461"/>
  <c r="B4460"/>
  <c r="B4459"/>
  <c r="B4458"/>
  <c r="B4457"/>
  <c r="B4456"/>
  <c r="B4455"/>
  <c r="B4454"/>
  <c r="B4453"/>
  <c r="B4452"/>
  <c r="B4451"/>
  <c r="B4450"/>
  <c r="B4449"/>
  <c r="B4448"/>
  <c r="B4447"/>
  <c r="B4446"/>
  <c r="B4445"/>
  <c r="B4444"/>
  <c r="B4443"/>
  <c r="B4442"/>
  <c r="B4441"/>
  <c r="B4440"/>
  <c r="B4439"/>
  <c r="B4438"/>
  <c r="B4437"/>
  <c r="B4436"/>
  <c r="B4435"/>
  <c r="B4434"/>
  <c r="B4433"/>
  <c r="B4432"/>
  <c r="B4431"/>
  <c r="B4430"/>
  <c r="B4429"/>
  <c r="B4428"/>
  <c r="B4427"/>
  <c r="B4426"/>
  <c r="B4425"/>
  <c r="B4424"/>
  <c r="B4423"/>
  <c r="B4422"/>
  <c r="B4421"/>
  <c r="B4420"/>
  <c r="B4419"/>
  <c r="B4418"/>
  <c r="B4417"/>
  <c r="B4416"/>
  <c r="B4415"/>
  <c r="B4414"/>
  <c r="B4413"/>
  <c r="B4412"/>
  <c r="B4411"/>
  <c r="B4410"/>
  <c r="B4409"/>
  <c r="B4408"/>
  <c r="B4407"/>
  <c r="B4406"/>
  <c r="B4405"/>
  <c r="B4404"/>
  <c r="B4403"/>
  <c r="B4402"/>
  <c r="B4401"/>
  <c r="B4400"/>
  <c r="B4399"/>
  <c r="B4398"/>
  <c r="B4397"/>
  <c r="B4396"/>
  <c r="B4395"/>
  <c r="B4394"/>
  <c r="B4393"/>
  <c r="B4392"/>
  <c r="B4391"/>
  <c r="B4390"/>
  <c r="B4389"/>
  <c r="B4388"/>
  <c r="B4387"/>
  <c r="B4386"/>
  <c r="B4385"/>
  <c r="B4384"/>
  <c r="B4383"/>
  <c r="B4382"/>
  <c r="B4381"/>
  <c r="B4380"/>
  <c r="B4379"/>
  <c r="B4378"/>
  <c r="B4377"/>
  <c r="B4376"/>
  <c r="B4375"/>
  <c r="B4374"/>
  <c r="B4373"/>
  <c r="B4372"/>
  <c r="B4371"/>
  <c r="B4370"/>
  <c r="B4369"/>
  <c r="B4368"/>
  <c r="B4367"/>
  <c r="B4366"/>
  <c r="B4365"/>
  <c r="B4364"/>
  <c r="B4363"/>
  <c r="B4362"/>
  <c r="B4361"/>
  <c r="B4360"/>
  <c r="B4359"/>
  <c r="B4358"/>
  <c r="B4357"/>
  <c r="B4356"/>
  <c r="B4355"/>
  <c r="B4354"/>
  <c r="B4353"/>
  <c r="B4352"/>
  <c r="B4351"/>
  <c r="B4350"/>
  <c r="B4349"/>
  <c r="B4348"/>
  <c r="B4347"/>
  <c r="B4346"/>
  <c r="B4345"/>
  <c r="B4344"/>
  <c r="B4343"/>
  <c r="B4342"/>
  <c r="B4341"/>
  <c r="B4340"/>
  <c r="B4339"/>
  <c r="B4338"/>
  <c r="B4337"/>
  <c r="B4336"/>
  <c r="B4335"/>
  <c r="B4334"/>
  <c r="B4333"/>
  <c r="B4332"/>
  <c r="B4331"/>
  <c r="B4330"/>
  <c r="B4329"/>
  <c r="B4328"/>
  <c r="B4327"/>
  <c r="B4326"/>
  <c r="B4325"/>
  <c r="B4324"/>
  <c r="B4323"/>
  <c r="B4322"/>
  <c r="B4321"/>
  <c r="B4320"/>
  <c r="B4319"/>
  <c r="B4318"/>
  <c r="B4317"/>
  <c r="B4316"/>
  <c r="B4315"/>
  <c r="B4314"/>
  <c r="B4313"/>
  <c r="B4312"/>
  <c r="B4311"/>
  <c r="B4310"/>
  <c r="B4309"/>
  <c r="B4308"/>
  <c r="B4307"/>
  <c r="B4306"/>
  <c r="B4305"/>
  <c r="B4304"/>
  <c r="B4303"/>
  <c r="B4302"/>
  <c r="B4301"/>
  <c r="B4300"/>
  <c r="B4299"/>
  <c r="B4298"/>
  <c r="B4297"/>
  <c r="B4296"/>
  <c r="B4295"/>
  <c r="B4294"/>
  <c r="B4293"/>
  <c r="B4292"/>
  <c r="B4291"/>
  <c r="B4290"/>
  <c r="B4289"/>
  <c r="B4288"/>
  <c r="B4287"/>
  <c r="B4286"/>
  <c r="B4285"/>
  <c r="B4284"/>
  <c r="B4283"/>
  <c r="B4282"/>
  <c r="B4281"/>
  <c r="B4280"/>
  <c r="B4279"/>
  <c r="B4278"/>
  <c r="B4277"/>
  <c r="B4276"/>
  <c r="B4275"/>
  <c r="B4274"/>
  <c r="B4273"/>
  <c r="B4272"/>
  <c r="B4271"/>
  <c r="B4270"/>
  <c r="B4269"/>
  <c r="B4268"/>
  <c r="B4267"/>
  <c r="B4266"/>
  <c r="B4265"/>
  <c r="B4264"/>
  <c r="B4263"/>
  <c r="B4262"/>
  <c r="B4261"/>
  <c r="B4260"/>
  <c r="B4259"/>
  <c r="B4258"/>
  <c r="B4257"/>
  <c r="B4256"/>
  <c r="B4255"/>
  <c r="B4254"/>
  <c r="B4253"/>
  <c r="B4252"/>
  <c r="B4251"/>
  <c r="B4250"/>
  <c r="B4249"/>
  <c r="B4248"/>
  <c r="B4247"/>
  <c r="B4246"/>
  <c r="B4245"/>
  <c r="B4244"/>
  <c r="B4243"/>
  <c r="B4242"/>
  <c r="B4241"/>
  <c r="B4240"/>
  <c r="B4239"/>
  <c r="B4238"/>
  <c r="B4237"/>
  <c r="B4236"/>
  <c r="B4235"/>
  <c r="B4234"/>
  <c r="B4233"/>
  <c r="B4232"/>
  <c r="B4231"/>
  <c r="B4230"/>
  <c r="B4229"/>
  <c r="B4228"/>
  <c r="B4227"/>
  <c r="B4226"/>
  <c r="B4225"/>
  <c r="B4224"/>
  <c r="B4223"/>
  <c r="B4222"/>
  <c r="B4221"/>
  <c r="B4220"/>
  <c r="B4219"/>
  <c r="B4218"/>
  <c r="B4217"/>
  <c r="B4216"/>
  <c r="B4215"/>
  <c r="B4214"/>
  <c r="B4213"/>
  <c r="B4212"/>
  <c r="B4211"/>
  <c r="B4210"/>
  <c r="B4209"/>
  <c r="B4208"/>
  <c r="B4207"/>
  <c r="B4206"/>
  <c r="B4205"/>
  <c r="B4204"/>
  <c r="B4203"/>
  <c r="B4202"/>
  <c r="B4201"/>
  <c r="B4200"/>
  <c r="B4199"/>
  <c r="B4198"/>
  <c r="B4197"/>
  <c r="B4196"/>
  <c r="B4195"/>
  <c r="B4194"/>
  <c r="B4193"/>
  <c r="B4192"/>
  <c r="B4191"/>
  <c r="B4190"/>
  <c r="B4189"/>
  <c r="B4188"/>
  <c r="B4187"/>
  <c r="B4186"/>
  <c r="B4185"/>
  <c r="B4184"/>
  <c r="B4183"/>
  <c r="B4182"/>
  <c r="B4181"/>
  <c r="B4180"/>
  <c r="B4179"/>
  <c r="B4178"/>
  <c r="B4177"/>
  <c r="B4176"/>
  <c r="B4175"/>
  <c r="B4174"/>
  <c r="B4173"/>
  <c r="B4172"/>
  <c r="B4171"/>
  <c r="B4170"/>
  <c r="B4169"/>
  <c r="B4168"/>
  <c r="B4167"/>
  <c r="B4166"/>
  <c r="B4165"/>
  <c r="B4164"/>
  <c r="B4163"/>
  <c r="B4162"/>
  <c r="B4161"/>
  <c r="B4160"/>
  <c r="B4159"/>
  <c r="B4158"/>
  <c r="B4157"/>
  <c r="B4156"/>
  <c r="B4155"/>
  <c r="B4154"/>
  <c r="B4153"/>
  <c r="B4152"/>
  <c r="B4151"/>
  <c r="B4150"/>
  <c r="B4149"/>
  <c r="B4148"/>
  <c r="B4147"/>
  <c r="B4146"/>
  <c r="B4145"/>
  <c r="B4144"/>
  <c r="B4143"/>
  <c r="B4142"/>
  <c r="B4141"/>
  <c r="B4140"/>
  <c r="B4139"/>
  <c r="B4138"/>
  <c r="B4137"/>
  <c r="B4136"/>
  <c r="B4135"/>
  <c r="B4134"/>
  <c r="B4133"/>
  <c r="B4132"/>
  <c r="B4131"/>
  <c r="B4130"/>
  <c r="B4129"/>
  <c r="B4128"/>
  <c r="B4127"/>
  <c r="B4126"/>
  <c r="B4125"/>
  <c r="B4124"/>
  <c r="B4123"/>
  <c r="B4122"/>
  <c r="B4121"/>
  <c r="B4120"/>
  <c r="B4119"/>
  <c r="B4118"/>
  <c r="B4117"/>
  <c r="B4116"/>
  <c r="B4115"/>
  <c r="B4114"/>
  <c r="B4113"/>
  <c r="B4112"/>
  <c r="B4111"/>
  <c r="B4110"/>
  <c r="B4109"/>
  <c r="B4108"/>
  <c r="B4107"/>
  <c r="B4106"/>
  <c r="B4105"/>
  <c r="B4104"/>
  <c r="B4103"/>
  <c r="B4102"/>
  <c r="B4101"/>
  <c r="B4100"/>
  <c r="B4099"/>
  <c r="B4098"/>
  <c r="B4097"/>
  <c r="B4096"/>
  <c r="B4095"/>
  <c r="B4094"/>
  <c r="B4093"/>
  <c r="B4092"/>
  <c r="B4091"/>
  <c r="B4090"/>
  <c r="B4089"/>
  <c r="B4088"/>
  <c r="B4087"/>
  <c r="B4086"/>
  <c r="B4085"/>
  <c r="B4084"/>
  <c r="B4083"/>
  <c r="B4082"/>
  <c r="B4081"/>
  <c r="B4080"/>
  <c r="B4079"/>
  <c r="B4078"/>
  <c r="B4077"/>
  <c r="B4076"/>
  <c r="B4075"/>
  <c r="B4074"/>
  <c r="B4073"/>
  <c r="B4072"/>
  <c r="B4071"/>
  <c r="B4070"/>
  <c r="B4069"/>
  <c r="B4068"/>
  <c r="B4067"/>
  <c r="B4066"/>
  <c r="B4065"/>
  <c r="B4064"/>
  <c r="B4063"/>
  <c r="B4062"/>
  <c r="B4061"/>
  <c r="B4060"/>
  <c r="B4059"/>
  <c r="B4058"/>
  <c r="B4057"/>
  <c r="B4056"/>
  <c r="B4055"/>
  <c r="B4054"/>
  <c r="B4053"/>
  <c r="B4052"/>
  <c r="B4051"/>
  <c r="B4050"/>
  <c r="B4049"/>
  <c r="B4048"/>
  <c r="B4047"/>
  <c r="B4046"/>
  <c r="B4045"/>
  <c r="B4044"/>
  <c r="B4043"/>
  <c r="B4042"/>
  <c r="B4041"/>
  <c r="B4040"/>
  <c r="B4039"/>
  <c r="B4038"/>
  <c r="B4037"/>
  <c r="B4036"/>
  <c r="B4035"/>
  <c r="B4034"/>
  <c r="B4033"/>
  <c r="B4032"/>
  <c r="B4031"/>
  <c r="B4030"/>
  <c r="B4029"/>
  <c r="B4028"/>
  <c r="B4027"/>
  <c r="B4026"/>
  <c r="B4025"/>
  <c r="B4024"/>
  <c r="B4023"/>
  <c r="B4022"/>
  <c r="B4021"/>
  <c r="B4020"/>
  <c r="B4019"/>
  <c r="B4018"/>
  <c r="B4017"/>
  <c r="B4016"/>
  <c r="B4015"/>
  <c r="B4014"/>
  <c r="B4013"/>
  <c r="B4012"/>
  <c r="B4011"/>
  <c r="B4010"/>
  <c r="B4009"/>
  <c r="B4008"/>
  <c r="B4007"/>
  <c r="B4006"/>
  <c r="B4005"/>
  <c r="B4004"/>
  <c r="B4003"/>
  <c r="B4002"/>
  <c r="B4001"/>
  <c r="B4000"/>
  <c r="B3999"/>
  <c r="B3998"/>
  <c r="B3997"/>
  <c r="B3996"/>
  <c r="B3995"/>
  <c r="B3994"/>
  <c r="B3993"/>
  <c r="B3992"/>
  <c r="B3991"/>
  <c r="B3990"/>
  <c r="B3989"/>
  <c r="B3988"/>
  <c r="B3987"/>
  <c r="B3986"/>
  <c r="B3985"/>
  <c r="B3984"/>
  <c r="B3983"/>
  <c r="B3982"/>
  <c r="B3981"/>
  <c r="B3980"/>
  <c r="B3979"/>
  <c r="B3978"/>
  <c r="B3977"/>
  <c r="B3976"/>
  <c r="B3975"/>
  <c r="B3974"/>
  <c r="B3973"/>
  <c r="B3972"/>
  <c r="B3971"/>
  <c r="B3970"/>
  <c r="B3969"/>
  <c r="B3968"/>
  <c r="B3967"/>
  <c r="B3966"/>
  <c r="B3965"/>
  <c r="B3964"/>
  <c r="B3963"/>
  <c r="B3962"/>
  <c r="B3961"/>
  <c r="B3960"/>
  <c r="B3959"/>
  <c r="B3958"/>
  <c r="B3957"/>
  <c r="B3956"/>
  <c r="B3955"/>
  <c r="B3954"/>
  <c r="B3953"/>
  <c r="B3952"/>
  <c r="B3951"/>
  <c r="B3950"/>
  <c r="B3949"/>
  <c r="B3948"/>
  <c r="B3947"/>
  <c r="B3946"/>
  <c r="B3945"/>
  <c r="B3944"/>
  <c r="B3943"/>
  <c r="B3942"/>
  <c r="B3941"/>
  <c r="B3940"/>
  <c r="B3939"/>
  <c r="B3938"/>
  <c r="B3937"/>
  <c r="B3936"/>
  <c r="B3935"/>
  <c r="B3934"/>
  <c r="B3933"/>
  <c r="B3932"/>
  <c r="B3931"/>
  <c r="B3930"/>
  <c r="B3929"/>
  <c r="B3928"/>
  <c r="B3927"/>
  <c r="B3926"/>
  <c r="B3925"/>
  <c r="B3924"/>
  <c r="B3923"/>
  <c r="B3922"/>
  <c r="B3921"/>
  <c r="B3920"/>
  <c r="B3919"/>
  <c r="B3918"/>
  <c r="B3917"/>
  <c r="B3916"/>
  <c r="B3915"/>
  <c r="B3914"/>
  <c r="B3913"/>
  <c r="B3912"/>
  <c r="B3911"/>
  <c r="B3910"/>
  <c r="B3909"/>
  <c r="B3908"/>
  <c r="B3907"/>
  <c r="B3906"/>
  <c r="B3905"/>
  <c r="B3904"/>
  <c r="B3903"/>
  <c r="B3902"/>
  <c r="B3901"/>
  <c r="B3900"/>
  <c r="B3899"/>
  <c r="B3898"/>
  <c r="B3897"/>
  <c r="B3896"/>
  <c r="B3895"/>
  <c r="B3894"/>
  <c r="B3893"/>
  <c r="B3892"/>
  <c r="B3891"/>
  <c r="B3890"/>
  <c r="B3889"/>
  <c r="B3888"/>
  <c r="B3887"/>
  <c r="B3886"/>
  <c r="B3885"/>
  <c r="B3884"/>
  <c r="B3883"/>
  <c r="B3882"/>
  <c r="B3881"/>
  <c r="B3880"/>
  <c r="B3879"/>
  <c r="B3878"/>
  <c r="B3877"/>
  <c r="B3876"/>
  <c r="B3875"/>
  <c r="B3874"/>
  <c r="B3873"/>
  <c r="B3872"/>
  <c r="B3871"/>
  <c r="B3870"/>
  <c r="B3869"/>
  <c r="B3868"/>
  <c r="B3867"/>
  <c r="B3866"/>
  <c r="B3865"/>
  <c r="B3864"/>
  <c r="B3863"/>
  <c r="B3862"/>
  <c r="B3861"/>
  <c r="B3860"/>
  <c r="B3859"/>
  <c r="B3858"/>
  <c r="B3857"/>
  <c r="B3856"/>
  <c r="B3855"/>
  <c r="B3854"/>
  <c r="B3853"/>
  <c r="B3852"/>
  <c r="B3851"/>
  <c r="B3850"/>
  <c r="B3849"/>
  <c r="B3848"/>
  <c r="B3847"/>
  <c r="B3846"/>
  <c r="B3845"/>
  <c r="B3844"/>
  <c r="B3843"/>
  <c r="B3842"/>
  <c r="B3841"/>
  <c r="B3840"/>
  <c r="B3839"/>
  <c r="B3838"/>
  <c r="B3837"/>
  <c r="B3836"/>
  <c r="B3835"/>
  <c r="B3834"/>
  <c r="B3833"/>
  <c r="B3832"/>
  <c r="B3831"/>
  <c r="B3830"/>
  <c r="B3829"/>
  <c r="B3828"/>
  <c r="B3827"/>
  <c r="B3826"/>
  <c r="B3825"/>
  <c r="B3824"/>
  <c r="B3823"/>
  <c r="B3822"/>
  <c r="B3821"/>
  <c r="B3820"/>
  <c r="B3819"/>
  <c r="B3818"/>
  <c r="B3817"/>
  <c r="B3816"/>
  <c r="B3815"/>
  <c r="B3814"/>
  <c r="B3813"/>
  <c r="B3812"/>
  <c r="B3811"/>
  <c r="B3810"/>
  <c r="B3809"/>
  <c r="B3808"/>
  <c r="B3807"/>
  <c r="B3806"/>
  <c r="B3805"/>
  <c r="B3804"/>
  <c r="B3803"/>
  <c r="B3802"/>
  <c r="B3801"/>
  <c r="B3800"/>
  <c r="B3799"/>
  <c r="B3798"/>
  <c r="B3797"/>
  <c r="B3796"/>
  <c r="B3795"/>
  <c r="B3794"/>
  <c r="B3793"/>
  <c r="B3792"/>
  <c r="B3791"/>
  <c r="B3790"/>
  <c r="B3789"/>
  <c r="B3788"/>
  <c r="B3787"/>
  <c r="B3786"/>
  <c r="B3785"/>
  <c r="B3784"/>
  <c r="B3783"/>
  <c r="B3782"/>
  <c r="B3781"/>
  <c r="B3780"/>
  <c r="B3779"/>
  <c r="B3778"/>
  <c r="B3777"/>
  <c r="B3776"/>
  <c r="B3775"/>
  <c r="B3774"/>
  <c r="B3773"/>
  <c r="B3772"/>
  <c r="B3771"/>
  <c r="B3770"/>
  <c r="B3769"/>
  <c r="B3768"/>
  <c r="B3767"/>
  <c r="B3766"/>
  <c r="B3765"/>
  <c r="B3764"/>
  <c r="B3763"/>
  <c r="B3762"/>
  <c r="B3761"/>
  <c r="B3760"/>
  <c r="B3759"/>
  <c r="B3758"/>
  <c r="B3757"/>
  <c r="B3756"/>
  <c r="B3755"/>
  <c r="B3754"/>
  <c r="B3753"/>
  <c r="B3752"/>
  <c r="B3751"/>
  <c r="B3750"/>
  <c r="B3749"/>
  <c r="B3748"/>
  <c r="B3747"/>
  <c r="B3746"/>
  <c r="B3745"/>
  <c r="B3744"/>
  <c r="B3743"/>
  <c r="B3742"/>
  <c r="B3741"/>
  <c r="B3740"/>
  <c r="B3739"/>
  <c r="B3738"/>
  <c r="B3737"/>
  <c r="B3736"/>
  <c r="B3735"/>
  <c r="B3734"/>
  <c r="B3733"/>
  <c r="B3732"/>
  <c r="B3731"/>
  <c r="B3730"/>
  <c r="B3729"/>
  <c r="B3728"/>
  <c r="B3727"/>
  <c r="B3726"/>
  <c r="B3725"/>
  <c r="B3724"/>
  <c r="B3723"/>
  <c r="B3722"/>
  <c r="B3721"/>
  <c r="B3720"/>
  <c r="B3719"/>
  <c r="B3718"/>
  <c r="B3717"/>
  <c r="B3716"/>
  <c r="B3715"/>
  <c r="B3714"/>
  <c r="B3713"/>
  <c r="B3712"/>
  <c r="B3711"/>
  <c r="B3710"/>
  <c r="B3709"/>
  <c r="B3708"/>
  <c r="B3707"/>
  <c r="B3706"/>
  <c r="B3705"/>
  <c r="B3704"/>
  <c r="B3703"/>
  <c r="B3702"/>
  <c r="B3701"/>
  <c r="B3700"/>
  <c r="B3699"/>
  <c r="B3698"/>
  <c r="B3697"/>
  <c r="B3696"/>
  <c r="B3695"/>
  <c r="B3694"/>
  <c r="B3693"/>
  <c r="B3692"/>
  <c r="B3691"/>
  <c r="B3690"/>
  <c r="B3689"/>
  <c r="B3688"/>
  <c r="B3687"/>
  <c r="B3686"/>
  <c r="B3685"/>
  <c r="B3684"/>
  <c r="B3683"/>
  <c r="B3682"/>
  <c r="B3681"/>
  <c r="B3680"/>
  <c r="B3679"/>
  <c r="B3678"/>
  <c r="B3677"/>
  <c r="B3676"/>
  <c r="B3675"/>
  <c r="B3674"/>
  <c r="B3673"/>
  <c r="B3672"/>
  <c r="B3671"/>
  <c r="B3670"/>
  <c r="B3669"/>
  <c r="B3668"/>
  <c r="B3667"/>
  <c r="B3666"/>
  <c r="B3665"/>
  <c r="B3664"/>
  <c r="B3663"/>
  <c r="B3662"/>
  <c r="B3661"/>
  <c r="B3660"/>
  <c r="B3659"/>
  <c r="B3658"/>
  <c r="B3657"/>
  <c r="B3656"/>
  <c r="B3655"/>
  <c r="B3654"/>
  <c r="B3653"/>
  <c r="B3652"/>
  <c r="B3651"/>
  <c r="B3650"/>
  <c r="B3649"/>
  <c r="B3648"/>
  <c r="B3647"/>
  <c r="B3646"/>
  <c r="B3645"/>
  <c r="B3644"/>
  <c r="B3643"/>
  <c r="B3642"/>
  <c r="B3641"/>
  <c r="B3640"/>
  <c r="B3639"/>
  <c r="B3638"/>
  <c r="B3637"/>
  <c r="B3636"/>
  <c r="B3635"/>
  <c r="B3634"/>
  <c r="B3633"/>
  <c r="B3632"/>
  <c r="B3631"/>
  <c r="B3630"/>
  <c r="B3629"/>
  <c r="B3628"/>
  <c r="B3627"/>
  <c r="B3626"/>
  <c r="B3625"/>
  <c r="B3624"/>
  <c r="B3623"/>
  <c r="B3622"/>
  <c r="B3621"/>
  <c r="B3620"/>
  <c r="B3619"/>
  <c r="B3618"/>
  <c r="B3617"/>
  <c r="B3616"/>
  <c r="B3615"/>
  <c r="B3614"/>
  <c r="B3613"/>
  <c r="B3612"/>
  <c r="B3611"/>
  <c r="B3610"/>
  <c r="B3609"/>
  <c r="B3608"/>
  <c r="B3607"/>
  <c r="B3606"/>
  <c r="B3605"/>
  <c r="B3604"/>
  <c r="B3603"/>
  <c r="B3602"/>
  <c r="B3601"/>
  <c r="B3600"/>
  <c r="B3599"/>
  <c r="B3598"/>
  <c r="B3597"/>
  <c r="B3596"/>
  <c r="B3595"/>
  <c r="B3594"/>
  <c r="B3593"/>
  <c r="B3592"/>
  <c r="B3591"/>
  <c r="B3590"/>
  <c r="B3589"/>
  <c r="B3588"/>
  <c r="B3587"/>
  <c r="B3586"/>
  <c r="B3585"/>
  <c r="B3584"/>
  <c r="B3583"/>
  <c r="B3582"/>
  <c r="B3581"/>
  <c r="B3580"/>
  <c r="B3579"/>
  <c r="B3578"/>
  <c r="B3577"/>
  <c r="B3576"/>
  <c r="B3575"/>
  <c r="B3574"/>
  <c r="B3573"/>
  <c r="B3572"/>
  <c r="B3571"/>
  <c r="B3570"/>
  <c r="B3569"/>
  <c r="B3568"/>
  <c r="B3567"/>
  <c r="B3566"/>
  <c r="B3565"/>
  <c r="B3564"/>
  <c r="B3563"/>
  <c r="B3562"/>
  <c r="B3561"/>
  <c r="B3560"/>
  <c r="B3559"/>
  <c r="B3558"/>
  <c r="B3557"/>
  <c r="B3556"/>
  <c r="B3555"/>
  <c r="B3554"/>
  <c r="B3553"/>
  <c r="B3552"/>
  <c r="B3551"/>
  <c r="B3550"/>
  <c r="B3549"/>
  <c r="B3548"/>
  <c r="B3547"/>
  <c r="B3546"/>
  <c r="B3545"/>
  <c r="B3544"/>
  <c r="B3543"/>
  <c r="B3542"/>
  <c r="B3541"/>
  <c r="B3540"/>
  <c r="B3539"/>
  <c r="B3538"/>
  <c r="B3537"/>
  <c r="B3536"/>
  <c r="B3535"/>
  <c r="B3534"/>
  <c r="B3533"/>
  <c r="B3532"/>
  <c r="B3531"/>
  <c r="B3530"/>
  <c r="B3529"/>
  <c r="B3528"/>
  <c r="B3527"/>
  <c r="B3526"/>
  <c r="B3525"/>
  <c r="B3524"/>
  <c r="B3523"/>
  <c r="B3522"/>
  <c r="B3521"/>
  <c r="B3520"/>
  <c r="B3519"/>
  <c r="B3518"/>
  <c r="B3517"/>
  <c r="B3516"/>
  <c r="B3515"/>
  <c r="B3514"/>
  <c r="B3513"/>
  <c r="B3512"/>
  <c r="B3511"/>
  <c r="B3510"/>
  <c r="B3509"/>
  <c r="B3508"/>
  <c r="B3507"/>
  <c r="B3506"/>
  <c r="B3505"/>
  <c r="B3504"/>
  <c r="B3503"/>
  <c r="B3502"/>
  <c r="B3501"/>
  <c r="B3500"/>
  <c r="B3499"/>
  <c r="B3498"/>
  <c r="B3497"/>
  <c r="B3496"/>
  <c r="B3495"/>
  <c r="B3494"/>
  <c r="B3493"/>
  <c r="B3492"/>
  <c r="B3491"/>
  <c r="B3490"/>
  <c r="B3489"/>
  <c r="B3488"/>
  <c r="B3487"/>
  <c r="B3486"/>
  <c r="B3485"/>
  <c r="B3484"/>
  <c r="B3483"/>
  <c r="B3482"/>
  <c r="B3481"/>
  <c r="B3480"/>
  <c r="B3479"/>
  <c r="B3478"/>
  <c r="B3477"/>
  <c r="B3476"/>
  <c r="B3475"/>
  <c r="B3474"/>
  <c r="B3473"/>
  <c r="B3472"/>
  <c r="B3471"/>
  <c r="B3470"/>
  <c r="B3469"/>
  <c r="B3468"/>
  <c r="B3467"/>
  <c r="B3466"/>
  <c r="B3465"/>
  <c r="B3464"/>
  <c r="B3463"/>
  <c r="B3462"/>
  <c r="B3461"/>
  <c r="B3460"/>
  <c r="B3459"/>
  <c r="B3458"/>
  <c r="B3457"/>
  <c r="B3456"/>
  <c r="B3455"/>
  <c r="B3454"/>
  <c r="B3453"/>
  <c r="B3452"/>
  <c r="B3451"/>
  <c r="B3450"/>
  <c r="B3449"/>
  <c r="B3448"/>
  <c r="B3447"/>
  <c r="B3446"/>
  <c r="B3445"/>
  <c r="B3444"/>
  <c r="B3443"/>
  <c r="B3442"/>
  <c r="B3441"/>
  <c r="B3440"/>
  <c r="B3439"/>
  <c r="B3438"/>
  <c r="B3437"/>
  <c r="B3436"/>
  <c r="B3435"/>
  <c r="B3434"/>
  <c r="B3433"/>
  <c r="B3432"/>
  <c r="B3431"/>
  <c r="B3430"/>
  <c r="B3429"/>
  <c r="B3428"/>
  <c r="B3427"/>
  <c r="B3426"/>
  <c r="B3425"/>
  <c r="B3424"/>
  <c r="B3423"/>
  <c r="B3422"/>
  <c r="B3421"/>
  <c r="B3420"/>
  <c r="B3419"/>
  <c r="B3418"/>
  <c r="B3417"/>
  <c r="B3416"/>
  <c r="B3415"/>
  <c r="B3414"/>
  <c r="B3413"/>
  <c r="B3412"/>
  <c r="B3411"/>
  <c r="B3410"/>
  <c r="B3409"/>
  <c r="B3408"/>
  <c r="B3407"/>
  <c r="B3406"/>
  <c r="B3405"/>
  <c r="B3404"/>
  <c r="B3403"/>
  <c r="B3402"/>
  <c r="B3401"/>
  <c r="B3400"/>
  <c r="B3399"/>
  <c r="B3398"/>
  <c r="B3397"/>
  <c r="B3396"/>
  <c r="B3395"/>
  <c r="B3394"/>
  <c r="B3393"/>
  <c r="B3392"/>
  <c r="B3391"/>
  <c r="B3390"/>
  <c r="B3389"/>
  <c r="B3388"/>
  <c r="B3387"/>
  <c r="B3386"/>
  <c r="B3385"/>
  <c r="B3384"/>
  <c r="B3383"/>
  <c r="B3382"/>
  <c r="B3381"/>
  <c r="B3380"/>
  <c r="B3379"/>
  <c r="B3378"/>
  <c r="B3377"/>
  <c r="B3376"/>
  <c r="B3375"/>
  <c r="B3374"/>
  <c r="B3373"/>
  <c r="B3372"/>
  <c r="B3371"/>
  <c r="B3370"/>
  <c r="B3369"/>
  <c r="B3368"/>
  <c r="B3367"/>
  <c r="B3366"/>
  <c r="B3365"/>
  <c r="B3364"/>
  <c r="B3363"/>
  <c r="B3362"/>
  <c r="B3361"/>
  <c r="B3360"/>
  <c r="B3359"/>
  <c r="B3358"/>
  <c r="B3357"/>
  <c r="B3356"/>
  <c r="B3355"/>
  <c r="B3354"/>
  <c r="B3353"/>
  <c r="B3352"/>
  <c r="B3351"/>
  <c r="B3350"/>
  <c r="B3349"/>
  <c r="B3348"/>
  <c r="B3347"/>
  <c r="B3346"/>
  <c r="B3345"/>
  <c r="B3344"/>
  <c r="B3343"/>
  <c r="B3342"/>
  <c r="B3341"/>
  <c r="B3340"/>
  <c r="B3339"/>
  <c r="B3338"/>
  <c r="B3337"/>
  <c r="B3336"/>
  <c r="B3335"/>
  <c r="B3334"/>
  <c r="B3333"/>
  <c r="B3332"/>
  <c r="B3331"/>
  <c r="B3330"/>
  <c r="B3329"/>
  <c r="B3328"/>
  <c r="B3327"/>
  <c r="B3326"/>
  <c r="B3325"/>
  <c r="B3324"/>
  <c r="B3323"/>
  <c r="B3322"/>
  <c r="B3321"/>
  <c r="B3320"/>
  <c r="B3319"/>
  <c r="B3318"/>
  <c r="B3317"/>
  <c r="B3316"/>
  <c r="B3315"/>
  <c r="B3314"/>
  <c r="B3313"/>
  <c r="B3312"/>
  <c r="B3311"/>
  <c r="B3310"/>
  <c r="B3309"/>
  <c r="B3308"/>
  <c r="B3307"/>
  <c r="B3306"/>
  <c r="B3305"/>
  <c r="B3304"/>
  <c r="B3303"/>
  <c r="B3302"/>
  <c r="B3301"/>
  <c r="B3300"/>
  <c r="B3299"/>
  <c r="B3298"/>
  <c r="B3297"/>
  <c r="B3296"/>
  <c r="B3295"/>
  <c r="B3294"/>
  <c r="B3293"/>
  <c r="B3292"/>
  <c r="B3291"/>
  <c r="B3290"/>
  <c r="B3289"/>
  <c r="B3288"/>
  <c r="B3287"/>
  <c r="B3286"/>
  <c r="B3285"/>
  <c r="B3284"/>
  <c r="B3283"/>
  <c r="B3282"/>
  <c r="B3281"/>
  <c r="B3280"/>
  <c r="B3279"/>
  <c r="B3278"/>
  <c r="B3277"/>
  <c r="B3276"/>
  <c r="B3275"/>
  <c r="B3274"/>
  <c r="B3273"/>
  <c r="B3272"/>
  <c r="B3271"/>
  <c r="B3270"/>
  <c r="B3269"/>
  <c r="B3268"/>
  <c r="B3267"/>
  <c r="B3266"/>
  <c r="B3265"/>
  <c r="B3264"/>
  <c r="B3263"/>
  <c r="B3262"/>
  <c r="B3261"/>
  <c r="B3260"/>
  <c r="B3259"/>
  <c r="B3258"/>
  <c r="B3257"/>
  <c r="B3256"/>
  <c r="B3255"/>
  <c r="B3254"/>
  <c r="B3253"/>
  <c r="B3252"/>
  <c r="B3251"/>
  <c r="B3250"/>
  <c r="B3249"/>
  <c r="B3248"/>
  <c r="B3247"/>
  <c r="B3246"/>
  <c r="B3245"/>
  <c r="B3244"/>
  <c r="B3243"/>
  <c r="B3242"/>
  <c r="B3241"/>
  <c r="B3240"/>
  <c r="B3239"/>
  <c r="B3238"/>
  <c r="B3237"/>
  <c r="B3236"/>
  <c r="B3235"/>
  <c r="B3234"/>
  <c r="B3233"/>
  <c r="B3232"/>
  <c r="B3231"/>
  <c r="B3230"/>
  <c r="B3229"/>
  <c r="B3228"/>
  <c r="B3227"/>
  <c r="B3226"/>
  <c r="B3225"/>
  <c r="B3224"/>
  <c r="B3223"/>
  <c r="B3222"/>
  <c r="B3221"/>
  <c r="B3220"/>
  <c r="B3219"/>
  <c r="B3218"/>
  <c r="B3217"/>
  <c r="B3216"/>
  <c r="B3215"/>
  <c r="B3214"/>
  <c r="B3213"/>
  <c r="B3212"/>
  <c r="B3211"/>
  <c r="B3210"/>
  <c r="B3209"/>
  <c r="B3208"/>
  <c r="B3207"/>
  <c r="B3206"/>
  <c r="B3205"/>
  <c r="B3204"/>
  <c r="B3203"/>
  <c r="B3202"/>
  <c r="B3201"/>
  <c r="B3200"/>
  <c r="B3199"/>
  <c r="B3198"/>
  <c r="B3197"/>
  <c r="B3196"/>
  <c r="B3195"/>
  <c r="B3194"/>
  <c r="B3193"/>
  <c r="B3192"/>
  <c r="B3191"/>
  <c r="B3190"/>
  <c r="B3189"/>
  <c r="B3188"/>
  <c r="B3187"/>
  <c r="B3186"/>
  <c r="B3185"/>
  <c r="B3184"/>
  <c r="B3183"/>
  <c r="B3182"/>
  <c r="B3181"/>
  <c r="B3180"/>
  <c r="B3179"/>
  <c r="B3178"/>
  <c r="B3177"/>
  <c r="B3176"/>
  <c r="B3175"/>
  <c r="B3174"/>
  <c r="B3173"/>
  <c r="B3172"/>
  <c r="B3171"/>
  <c r="B3170"/>
  <c r="B3169"/>
  <c r="B3168"/>
  <c r="B3167"/>
  <c r="B3166"/>
  <c r="B3165"/>
  <c r="B3164"/>
  <c r="B3163"/>
  <c r="B3162"/>
  <c r="B3161"/>
  <c r="B3160"/>
  <c r="B3159"/>
  <c r="B3158"/>
  <c r="B3157"/>
  <c r="B3156"/>
  <c r="B3155"/>
  <c r="B3154"/>
  <c r="B3153"/>
  <c r="B3152"/>
  <c r="B3151"/>
  <c r="B3150"/>
  <c r="B3149"/>
  <c r="B3148"/>
  <c r="B3147"/>
  <c r="B3146"/>
  <c r="B3145"/>
  <c r="B3144"/>
  <c r="B3143"/>
  <c r="B3142"/>
  <c r="B3141"/>
  <c r="B3140"/>
  <c r="B3139"/>
  <c r="B3138"/>
  <c r="B3137"/>
  <c r="B3136"/>
  <c r="B3135"/>
  <c r="B3134"/>
  <c r="B3133"/>
  <c r="B3132"/>
  <c r="B3131"/>
  <c r="B3130"/>
  <c r="B3129"/>
  <c r="B3128"/>
  <c r="B3127"/>
  <c r="B3126"/>
  <c r="B3125"/>
  <c r="B3124"/>
  <c r="B3123"/>
  <c r="B3122"/>
  <c r="B3121"/>
  <c r="B3120"/>
  <c r="B3119"/>
  <c r="B3118"/>
  <c r="B3117"/>
  <c r="B3116"/>
  <c r="B3115"/>
  <c r="B3114"/>
  <c r="B3113"/>
  <c r="B3112"/>
  <c r="B3111"/>
  <c r="B3110"/>
  <c r="B3109"/>
  <c r="B3108"/>
  <c r="B3107"/>
  <c r="B3106"/>
  <c r="B3105"/>
  <c r="B3104"/>
  <c r="B3103"/>
  <c r="B3102"/>
  <c r="B3101"/>
  <c r="B3100"/>
  <c r="B3099"/>
  <c r="B3098"/>
  <c r="B3097"/>
  <c r="B3096"/>
  <c r="B3095"/>
  <c r="B3094"/>
  <c r="B3093"/>
  <c r="B3092"/>
  <c r="B3091"/>
  <c r="B3090"/>
  <c r="B3089"/>
  <c r="B3088"/>
  <c r="B3087"/>
  <c r="B3086"/>
  <c r="B3085"/>
  <c r="B3084"/>
  <c r="B3083"/>
  <c r="B3082"/>
  <c r="B3081"/>
  <c r="B3080"/>
  <c r="B3079"/>
  <c r="B3078"/>
  <c r="B3077"/>
  <c r="B3076"/>
  <c r="B3075"/>
  <c r="B3074"/>
  <c r="B3073"/>
  <c r="B3072"/>
  <c r="B3071"/>
  <c r="B3070"/>
  <c r="B3069"/>
  <c r="B3068"/>
  <c r="B3067"/>
  <c r="B3066"/>
  <c r="B3065"/>
  <c r="B3064"/>
  <c r="B3063"/>
  <c r="B3062"/>
  <c r="B3061"/>
  <c r="B3060"/>
  <c r="B3059"/>
  <c r="B3058"/>
  <c r="B3057"/>
  <c r="B3056"/>
  <c r="B3055"/>
  <c r="B3054"/>
  <c r="B3053"/>
  <c r="B3052"/>
  <c r="B3051"/>
  <c r="B3050"/>
  <c r="B3049"/>
  <c r="B3048"/>
  <c r="B3047"/>
  <c r="B3046"/>
  <c r="B3045"/>
  <c r="B3044"/>
  <c r="B3043"/>
  <c r="B3042"/>
  <c r="B3041"/>
  <c r="B3040"/>
  <c r="B3039"/>
  <c r="B3038"/>
  <c r="B3037"/>
  <c r="B3036"/>
  <c r="B3035"/>
  <c r="B3034"/>
  <c r="B3033"/>
  <c r="B3032"/>
  <c r="B3031"/>
  <c r="B3030"/>
  <c r="B3029"/>
  <c r="B3028"/>
  <c r="B3027"/>
  <c r="B3026"/>
  <c r="B3025"/>
  <c r="B3024"/>
  <c r="B3023"/>
  <c r="B3022"/>
  <c r="B3021"/>
  <c r="B3020"/>
  <c r="B3019"/>
  <c r="B3018"/>
  <c r="B3017"/>
  <c r="B3016"/>
  <c r="B3015"/>
  <c r="B3014"/>
  <c r="B3013"/>
  <c r="B3012"/>
  <c r="B3011"/>
  <c r="B3010"/>
  <c r="B3009"/>
  <c r="B3008"/>
  <c r="B3007"/>
  <c r="B3006"/>
  <c r="B3005"/>
  <c r="B3004"/>
  <c r="B3003"/>
  <c r="B3002"/>
  <c r="B3001"/>
  <c r="B3000"/>
  <c r="B2999"/>
  <c r="B2998"/>
  <c r="B2997"/>
  <c r="B2996"/>
  <c r="B2995"/>
  <c r="B2994"/>
  <c r="B2993"/>
  <c r="B2992"/>
  <c r="B2991"/>
  <c r="B2990"/>
  <c r="B2989"/>
  <c r="B2988"/>
  <c r="B2987"/>
  <c r="B2986"/>
  <c r="B2985"/>
  <c r="B2984"/>
  <c r="B2983"/>
  <c r="B2982"/>
  <c r="B2981"/>
  <c r="B2980"/>
  <c r="B2979"/>
  <c r="B2978"/>
  <c r="B2977"/>
  <c r="B2976"/>
  <c r="B2975"/>
  <c r="B2974"/>
  <c r="B2973"/>
  <c r="B2972"/>
  <c r="B2971"/>
  <c r="B2970"/>
  <c r="B2969"/>
  <c r="B2968"/>
  <c r="B2967"/>
  <c r="B2966"/>
  <c r="B2965"/>
  <c r="B2964"/>
  <c r="B2963"/>
  <c r="B2962"/>
  <c r="B2961"/>
  <c r="B2960"/>
  <c r="B2959"/>
  <c r="B2958"/>
  <c r="B2957"/>
  <c r="B2956"/>
  <c r="B2955"/>
  <c r="B2954"/>
  <c r="B2953"/>
  <c r="B2952"/>
  <c r="B2951"/>
  <c r="B2950"/>
  <c r="B2949"/>
  <c r="B2948"/>
  <c r="B2947"/>
  <c r="B2946"/>
  <c r="B2945"/>
  <c r="B2944"/>
  <c r="B2943"/>
  <c r="B2942"/>
  <c r="B2941"/>
  <c r="B2940"/>
  <c r="B2939"/>
  <c r="B2938"/>
  <c r="B2937"/>
  <c r="B2936"/>
  <c r="B2935"/>
  <c r="B2934"/>
  <c r="B2933"/>
  <c r="B2932"/>
  <c r="B2931"/>
  <c r="B2930"/>
  <c r="B2929"/>
  <c r="B2928"/>
  <c r="B2927"/>
  <c r="B2926"/>
  <c r="B2925"/>
  <c r="B2924"/>
  <c r="B2923"/>
  <c r="B2922"/>
  <c r="B2921"/>
  <c r="B2920"/>
  <c r="B2919"/>
  <c r="B2918"/>
  <c r="B2917"/>
  <c r="B2916"/>
  <c r="B2915"/>
  <c r="B2914"/>
  <c r="B2913"/>
  <c r="B2912"/>
  <c r="B2911"/>
  <c r="B2910"/>
  <c r="B2909"/>
  <c r="B2908"/>
  <c r="B2907"/>
  <c r="B2906"/>
  <c r="B2905"/>
  <c r="B2904"/>
  <c r="B2903"/>
  <c r="B2902"/>
  <c r="B2901"/>
  <c r="B2900"/>
  <c r="B2899"/>
  <c r="B2898"/>
  <c r="B2897"/>
  <c r="B2896"/>
  <c r="B2895"/>
  <c r="B2894"/>
  <c r="B2893"/>
  <c r="B2892"/>
  <c r="B2891"/>
  <c r="B2890"/>
  <c r="B2889"/>
  <c r="B2888"/>
  <c r="B2887"/>
  <c r="B2886"/>
  <c r="B2885"/>
  <c r="B2884"/>
  <c r="B2883"/>
  <c r="B2882"/>
  <c r="B2881"/>
  <c r="B2880"/>
  <c r="B2879"/>
  <c r="B2878"/>
  <c r="B2877"/>
  <c r="B2876"/>
  <c r="B2875"/>
  <c r="B2874"/>
  <c r="B2873"/>
  <c r="B2872"/>
  <c r="B2871"/>
  <c r="B2870"/>
  <c r="B2869"/>
  <c r="B2868"/>
  <c r="B2867"/>
  <c r="B2866"/>
  <c r="B2865"/>
  <c r="B2864"/>
  <c r="B2863"/>
  <c r="B2862"/>
  <c r="B2861"/>
  <c r="B2860"/>
  <c r="B2859"/>
  <c r="B2858"/>
  <c r="B2857"/>
  <c r="B2856"/>
  <c r="B2855"/>
  <c r="B2854"/>
  <c r="B2853"/>
  <c r="B2852"/>
  <c r="B2851"/>
  <c r="B2850"/>
  <c r="B2849"/>
  <c r="B2848"/>
  <c r="B2847"/>
  <c r="B2846"/>
  <c r="B2845"/>
  <c r="B2844"/>
  <c r="B2843"/>
  <c r="B2842"/>
  <c r="B2841"/>
  <c r="B2840"/>
  <c r="B2839"/>
  <c r="B2838"/>
  <c r="B2837"/>
  <c r="B2836"/>
  <c r="B2835"/>
  <c r="B2834"/>
  <c r="B2833"/>
  <c r="B2832"/>
  <c r="B2831"/>
  <c r="B2830"/>
  <c r="B2829"/>
  <c r="B2828"/>
  <c r="B2827"/>
  <c r="B2826"/>
  <c r="B2825"/>
  <c r="B2824"/>
  <c r="B2823"/>
  <c r="B2822"/>
  <c r="B2821"/>
  <c r="B2820"/>
  <c r="B2819"/>
  <c r="B2818"/>
  <c r="B2817"/>
  <c r="B2816"/>
  <c r="B2815"/>
  <c r="B2814"/>
  <c r="B2813"/>
  <c r="B2812"/>
  <c r="B2811"/>
  <c r="B2810"/>
  <c r="B2809"/>
  <c r="B2808"/>
  <c r="B2807"/>
  <c r="B2806"/>
  <c r="B2805"/>
  <c r="B2804"/>
  <c r="B2803"/>
  <c r="B2802"/>
  <c r="B2801"/>
  <c r="B2800"/>
  <c r="B2799"/>
  <c r="B2798"/>
  <c r="B2797"/>
  <c r="B2796"/>
  <c r="B2795"/>
  <c r="B2794"/>
  <c r="B2793"/>
  <c r="B2792"/>
  <c r="B2791"/>
  <c r="B2790"/>
  <c r="B2789"/>
  <c r="B2788"/>
  <c r="B2787"/>
  <c r="B2786"/>
  <c r="B2785"/>
  <c r="B2784"/>
  <c r="B2783"/>
  <c r="B2782"/>
  <c r="B2781"/>
  <c r="B2780"/>
  <c r="B2779"/>
  <c r="B2778"/>
  <c r="B2777"/>
  <c r="B2776"/>
  <c r="B2775"/>
  <c r="B2774"/>
  <c r="B2773"/>
  <c r="B2772"/>
  <c r="B2771"/>
  <c r="B2770"/>
  <c r="B2769"/>
  <c r="B2768"/>
  <c r="B2767"/>
  <c r="B2766"/>
  <c r="B2765"/>
  <c r="B2764"/>
  <c r="B2763"/>
  <c r="B2762"/>
  <c r="B2761"/>
  <c r="B2760"/>
  <c r="B2759"/>
  <c r="B2758"/>
  <c r="B2757"/>
  <c r="B2756"/>
  <c r="B2755"/>
  <c r="B2754"/>
  <c r="B2753"/>
  <c r="B2752"/>
  <c r="B2751"/>
  <c r="B2750"/>
  <c r="B2749"/>
  <c r="B2748"/>
  <c r="B2747"/>
  <c r="B2746"/>
  <c r="B2745"/>
  <c r="B2744"/>
  <c r="B2743"/>
  <c r="B2742"/>
  <c r="B2741"/>
  <c r="B2740"/>
  <c r="B2739"/>
  <c r="B2738"/>
  <c r="B2737"/>
  <c r="B2736"/>
  <c r="B2735"/>
  <c r="B2734"/>
  <c r="B2733"/>
  <c r="B2732"/>
  <c r="B2731"/>
  <c r="B2730"/>
  <c r="B2729"/>
  <c r="B2728"/>
  <c r="B2727"/>
  <c r="B2726"/>
  <c r="B2725"/>
  <c r="B2724"/>
  <c r="B2723"/>
  <c r="B2722"/>
  <c r="B2721"/>
  <c r="B2720"/>
  <c r="B2719"/>
  <c r="B2718"/>
  <c r="B2717"/>
  <c r="B2716"/>
  <c r="B2715"/>
  <c r="B2714"/>
  <c r="B2713"/>
  <c r="B2712"/>
  <c r="B2711"/>
  <c r="B2710"/>
  <c r="B2709"/>
  <c r="B2708"/>
  <c r="B2707"/>
  <c r="B2706"/>
  <c r="B2705"/>
  <c r="B2704"/>
  <c r="B2703"/>
  <c r="B2702"/>
  <c r="B2701"/>
  <c r="B2700"/>
  <c r="B2699"/>
  <c r="B2698"/>
  <c r="B2697"/>
  <c r="B2696"/>
  <c r="B2695"/>
  <c r="B2694"/>
  <c r="B2693"/>
  <c r="B2692"/>
  <c r="B2691"/>
  <c r="B2690"/>
  <c r="B2689"/>
  <c r="B2688"/>
  <c r="B2687"/>
  <c r="B2686"/>
  <c r="B2685"/>
  <c r="B2684"/>
  <c r="B2683"/>
  <c r="B2682"/>
  <c r="B2681"/>
  <c r="B2680"/>
  <c r="B2679"/>
  <c r="B2678"/>
  <c r="B2677"/>
  <c r="B2676"/>
  <c r="B2675"/>
  <c r="B2674"/>
  <c r="B2673"/>
  <c r="B2672"/>
  <c r="B2671"/>
  <c r="B2670"/>
  <c r="B2669"/>
  <c r="B2668"/>
  <c r="B2667"/>
  <c r="B2666"/>
  <c r="B2665"/>
  <c r="B2664"/>
  <c r="B2663"/>
  <c r="B2662"/>
  <c r="B2661"/>
  <c r="B2660"/>
  <c r="B2659"/>
  <c r="B2658"/>
  <c r="B2657"/>
  <c r="B2656"/>
  <c r="B2655"/>
  <c r="B2654"/>
  <c r="B2653"/>
  <c r="B2652"/>
  <c r="B2651"/>
  <c r="B2650"/>
  <c r="B2649"/>
  <c r="B2648"/>
  <c r="B2647"/>
  <c r="B2646"/>
  <c r="B2645"/>
  <c r="B2644"/>
  <c r="B2643"/>
  <c r="B2642"/>
  <c r="B2641"/>
  <c r="B2640"/>
  <c r="B2639"/>
  <c r="B2638"/>
  <c r="B2637"/>
  <c r="B2636"/>
  <c r="B2635"/>
  <c r="B2634"/>
  <c r="B2633"/>
  <c r="B2632"/>
  <c r="B2631"/>
  <c r="B2630"/>
  <c r="B2629"/>
  <c r="B2628"/>
  <c r="B2627"/>
  <c r="B2626"/>
  <c r="B2625"/>
  <c r="B2624"/>
  <c r="B2623"/>
  <c r="B2622"/>
  <c r="B2621"/>
  <c r="B2620"/>
  <c r="B2619"/>
  <c r="B2618"/>
  <c r="B2617"/>
  <c r="B2616"/>
  <c r="B2615"/>
  <c r="B2614"/>
  <c r="B2613"/>
  <c r="B2612"/>
  <c r="B2611"/>
  <c r="B2610"/>
  <c r="B2609"/>
  <c r="B2608"/>
  <c r="B2607"/>
  <c r="B2606"/>
  <c r="B2605"/>
  <c r="B2604"/>
  <c r="B2603"/>
  <c r="B2602"/>
  <c r="B2601"/>
  <c r="B2600"/>
  <c r="B2599"/>
  <c r="B2598"/>
  <c r="B2597"/>
  <c r="B2596"/>
  <c r="B2595"/>
  <c r="B2594"/>
  <c r="B2593"/>
  <c r="B2592"/>
  <c r="B2591"/>
  <c r="B2590"/>
  <c r="B2589"/>
  <c r="B2588"/>
  <c r="B2587"/>
  <c r="B2586"/>
  <c r="B2585"/>
  <c r="B2584"/>
  <c r="B2583"/>
  <c r="B2582"/>
  <c r="B2581"/>
  <c r="B2580"/>
  <c r="B2579"/>
  <c r="B2578"/>
  <c r="B2577"/>
  <c r="B2576"/>
  <c r="B2575"/>
  <c r="B2574"/>
  <c r="B2573"/>
  <c r="B2572"/>
  <c r="B2571"/>
  <c r="B2570"/>
  <c r="B2569"/>
  <c r="B2568"/>
  <c r="B2567"/>
  <c r="B2566"/>
  <c r="B2565"/>
  <c r="B2564"/>
  <c r="B2563"/>
  <c r="B2562"/>
  <c r="B2561"/>
  <c r="B2560"/>
  <c r="B2559"/>
  <c r="B2558"/>
  <c r="B2557"/>
  <c r="B2556"/>
  <c r="B2555"/>
  <c r="B2554"/>
  <c r="B2553"/>
  <c r="B2552"/>
  <c r="B2551"/>
  <c r="B2550"/>
  <c r="B2549"/>
  <c r="B2548"/>
  <c r="B2547"/>
  <c r="B2546"/>
  <c r="B2545"/>
  <c r="B2544"/>
  <c r="B2543"/>
  <c r="B2542"/>
  <c r="B2541"/>
  <c r="B2540"/>
  <c r="B2539"/>
  <c r="B2538"/>
  <c r="B2537"/>
  <c r="B2536"/>
  <c r="B2535"/>
  <c r="B2534"/>
  <c r="B2533"/>
  <c r="B2532"/>
  <c r="B2531"/>
  <c r="B2530"/>
  <c r="B2529"/>
  <c r="B2528"/>
  <c r="B2527"/>
  <c r="B2526"/>
  <c r="B2525"/>
  <c r="B2524"/>
  <c r="B2523"/>
  <c r="B2522"/>
  <c r="B2521"/>
  <c r="B2520"/>
  <c r="B2519"/>
  <c r="B2518"/>
  <c r="B2517"/>
  <c r="B2516"/>
  <c r="B2515"/>
  <c r="B2514"/>
  <c r="B2513"/>
  <c r="B2512"/>
  <c r="B2511"/>
  <c r="B2510"/>
  <c r="B2509"/>
  <c r="B2508"/>
  <c r="B2507"/>
  <c r="B2506"/>
  <c r="B2505"/>
  <c r="B2504"/>
  <c r="B2503"/>
  <c r="B2502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<sst xmlns="http://schemas.openxmlformats.org/spreadsheetml/2006/main" count="42209" uniqueCount="5006">
  <si>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</si>
  <si>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</si>
  <si>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</si>
  <si>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</si>
  <si>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</si>
  <si>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</si>
  <si>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</si>
  <si>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</si>
  <si>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</si>
  <si>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</si>
  <si>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</si>
  <si>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</si>
  <si>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</si>
  <si>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</si>
  <si>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</si>
  <si>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</si>
  <si>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ON1</t>
  </si>
  <si>
    <t>JNX</t>
  </si>
  <si>
    <t>JOHANNESBURG</t>
  </si>
  <si>
    <t xml:space="preserve">BEARING MAN GROUP   </t>
  </si>
  <si>
    <t xml:space="preserve">GIFT                </t>
  </si>
  <si>
    <t>DELIVERED</t>
  </si>
  <si>
    <t xml:space="preserve">               </t>
  </si>
  <si>
    <t>BOKSBURG</t>
  </si>
  <si>
    <t xml:space="preserve">REGRADE MASTERS     </t>
  </si>
  <si>
    <t xml:space="preserve">brendon             </t>
  </si>
  <si>
    <t>VEREENIGING</t>
  </si>
  <si>
    <t xml:space="preserve">CEMPACK             </t>
  </si>
  <si>
    <t xml:space="preserve">Ernest              </t>
  </si>
  <si>
    <t>SPRINGS</t>
  </si>
  <si>
    <t xml:space="preserve">KIMBERLY CLARK      </t>
  </si>
  <si>
    <t xml:space="preserve">SIBUSISO            </t>
  </si>
  <si>
    <t>PLZ</t>
  </si>
  <si>
    <t>PORT ELIZABETH</t>
  </si>
  <si>
    <t>JENDAMARK AUTOMATION</t>
  </si>
  <si>
    <t xml:space="preserve">jade                </t>
  </si>
  <si>
    <t>03/05/2019 19:23:33 NLG PLZ POD confirmed on NTS</t>
  </si>
  <si>
    <t>ELS</t>
  </si>
  <si>
    <t>EAST LONDON</t>
  </si>
  <si>
    <t xml:space="preserve">BMG EAST LONDON     </t>
  </si>
  <si>
    <t xml:space="preserve">Erve                </t>
  </si>
  <si>
    <t>03/05/2019 13:04:42 AVW ELS POD confirmed on NTS</t>
  </si>
  <si>
    <t>03/05/2019 13:04:35 AVW ELS POD confirmed on NTS</t>
  </si>
  <si>
    <t>CPT</t>
  </si>
  <si>
    <t>CAPE TOWN</t>
  </si>
  <si>
    <t>SIGNAL INSTRUMENTATI</t>
  </si>
  <si>
    <t xml:space="preserve">jaco                </t>
  </si>
  <si>
    <t>03/05/2019 17:47:54 els CPT POD confirmed on NTS</t>
  </si>
  <si>
    <t xml:space="preserve">BMG BELLVILLE 0120  </t>
  </si>
  <si>
    <t xml:space="preserve">Iceron              </t>
  </si>
  <si>
    <t>03/05/2019 17:48:03 els CPT POD confirmed on NTS</t>
  </si>
  <si>
    <t xml:space="preserve">HYDROMATIC          </t>
  </si>
  <si>
    <t xml:space="preserve">Randall             </t>
  </si>
  <si>
    <t>03/05/2019 16:07:41 cvd CPT POD confirmed on NTS</t>
  </si>
  <si>
    <t>SOMERSET WEST</t>
  </si>
  <si>
    <t>SOUTHERN PULP MACHIN</t>
  </si>
  <si>
    <t xml:space="preserve">ILLEG               </t>
  </si>
  <si>
    <t>03/05/2019 17:39:44 els CPT POD confirmed on NTS</t>
  </si>
  <si>
    <t>RD</t>
  </si>
  <si>
    <t>JNB</t>
  </si>
  <si>
    <t>WORCESTER</t>
  </si>
  <si>
    <t xml:space="preserve">GRW ENGINERING      </t>
  </si>
  <si>
    <t xml:space="preserve">HARRY               </t>
  </si>
  <si>
    <t>09/05/2019 10:56:19 NGF CPT POD confirmed on NTS</t>
  </si>
  <si>
    <t>KEMPTON PARK</t>
  </si>
  <si>
    <t xml:space="preserve">NATIONAL BRANDS BIS </t>
  </si>
  <si>
    <t xml:space="preserve">silas               </t>
  </si>
  <si>
    <t>KRUGERSDORP</t>
  </si>
  <si>
    <t>WATCH TOWER BIBLE TR</t>
  </si>
  <si>
    <t xml:space="preserve">NICOLE              </t>
  </si>
  <si>
    <t xml:space="preserve">BRANDLINE PACKAGING </t>
  </si>
  <si>
    <t>06/05/2019 17:44:33 TES JNX POD confirmed on NTS</t>
  </si>
  <si>
    <t xml:space="preserve">KIMBERLEY-CLARK S.A </t>
  </si>
  <si>
    <t xml:space="preserve">shamonick           </t>
  </si>
  <si>
    <t>03/05/2019 19:12:22 cvd CPT POD confirmed on NTS</t>
  </si>
  <si>
    <t>PAARL</t>
  </si>
  <si>
    <t xml:space="preserve">HYDRAQUIP           </t>
  </si>
  <si>
    <t xml:space="preserve">James               </t>
  </si>
  <si>
    <t>03/05/2019 18:55:15 cvd CPT POD confirmed on NTS</t>
  </si>
  <si>
    <t xml:space="preserve">LYNDON              </t>
  </si>
  <si>
    <t>07/05/2019 10:32:47 NGF CPT POD confirmed on NTS</t>
  </si>
  <si>
    <t>BRAKPAN</t>
  </si>
  <si>
    <t xml:space="preserve">AFRISAM SA PTY LTD  </t>
  </si>
  <si>
    <t xml:space="preserve">LAURENCE            </t>
  </si>
  <si>
    <t>RANDFONTEIN</t>
  </si>
  <si>
    <t>RCL FOODCORP (PTY) L</t>
  </si>
  <si>
    <t xml:space="preserve">SOLVADOR            </t>
  </si>
  <si>
    <t>MAIN STREET 1310(PTY</t>
  </si>
  <si>
    <t xml:space="preserve">Patrick             </t>
  </si>
  <si>
    <t>ADCOCK INGRASM CRITI</t>
  </si>
  <si>
    <t xml:space="preserve">W MHLONGO           </t>
  </si>
  <si>
    <t>HEIDELBERG GRAPHIC S</t>
  </si>
  <si>
    <t xml:space="preserve">MOSES               </t>
  </si>
  <si>
    <t xml:space="preserve">BUCKLE PACKAGING    </t>
  </si>
  <si>
    <t xml:space="preserve">monique             </t>
  </si>
  <si>
    <t>06/05/2019 17:45:10 SYSTEM  POD Upload Android</t>
  </si>
  <si>
    <t xml:space="preserve">SIME DARBY HUDSON   </t>
  </si>
  <si>
    <t xml:space="preserve">LUCKY               </t>
  </si>
  <si>
    <t xml:space="preserve">PFERD SA PTY LTD    </t>
  </si>
  <si>
    <t xml:space="preserve">HLUPHI              </t>
  </si>
  <si>
    <t xml:space="preserve">SIGNATURE           </t>
  </si>
  <si>
    <t>PG BISON A DIV OF KA</t>
  </si>
  <si>
    <t xml:space="preserve">joe z               </t>
  </si>
  <si>
    <t>GERMISTON</t>
  </si>
  <si>
    <t xml:space="preserve">SCAW SA             </t>
  </si>
  <si>
    <t xml:space="preserve">christie            </t>
  </si>
  <si>
    <t xml:space="preserve">UNILIVER SA         </t>
  </si>
  <si>
    <t xml:space="preserve">PRECIOUS            </t>
  </si>
  <si>
    <t xml:space="preserve">JOHNSON MATTHEY PTY </t>
  </si>
  <si>
    <t xml:space="preserve">BEVCAN              </t>
  </si>
  <si>
    <t xml:space="preserve">RONNIE              </t>
  </si>
  <si>
    <t xml:space="preserve">RAINBOW POLYURETHNE </t>
  </si>
  <si>
    <t xml:space="preserve">karin               </t>
  </si>
  <si>
    <t>03/05/2019 16:15:13 cvd CPT POD confirmed on NTS</t>
  </si>
  <si>
    <t>DE BEERS GROUP SERVI</t>
  </si>
  <si>
    <t>03/05/2019 16:15:27 cvd CPT POD confirmed on NTS</t>
  </si>
  <si>
    <t xml:space="preserve">AEL MINING SERVICES </t>
  </si>
  <si>
    <t xml:space="preserve">TECHMACH PTY LTD    </t>
  </si>
  <si>
    <t xml:space="preserve">AARON               </t>
  </si>
  <si>
    <t xml:space="preserve">DANONE SA PTY LTD   </t>
  </si>
  <si>
    <t xml:space="preserve">lerato              </t>
  </si>
  <si>
    <t>KIM</t>
  </si>
  <si>
    <t>KIMBERLEY</t>
  </si>
  <si>
    <t>KENRU FIRE PROTECTIO</t>
  </si>
  <si>
    <t xml:space="preserve">l du plissies       </t>
  </si>
  <si>
    <t>03/05/2019 13:57:35 tas KIM POD confirmed on NTS</t>
  </si>
  <si>
    <t xml:space="preserve">SHERMAN             </t>
  </si>
  <si>
    <t>03/05/2019 18:41:49 NLG PLZ POD confirmed on NTS</t>
  </si>
  <si>
    <t>BIO CAPSULE PHARMACE</t>
  </si>
  <si>
    <t>03/05/2019 18:17:35 els CPT POD confirmed on NTS</t>
  </si>
  <si>
    <t>07/05/2019 10:32:58 NGF CPT POD confirmed on NTS</t>
  </si>
  <si>
    <t>03/05/2019 16:07:29 cvd CPT POD confirmed on NTS</t>
  </si>
  <si>
    <t>PZB</t>
  </si>
  <si>
    <t>PIETERMARITZBURG</t>
  </si>
  <si>
    <t xml:space="preserve">MAGNACORP 397 CC TA </t>
  </si>
  <si>
    <t xml:space="preserve">Craig               </t>
  </si>
  <si>
    <t>03/05/2019 17:19:48 NIS PZB POD confirmed on NTS</t>
  </si>
  <si>
    <t>OLD HAMMARSDALE</t>
  </si>
  <si>
    <t>RCL FOODS CONSUMER (</t>
  </si>
  <si>
    <t xml:space="preserve">Lindo               </t>
  </si>
  <si>
    <t>03/05/2019 17:18:39 NIS PZB POD confirmed on NTS</t>
  </si>
  <si>
    <t>DUR</t>
  </si>
  <si>
    <t>DURBAN</t>
  </si>
  <si>
    <t xml:space="preserve">TIGER BRANDS SNACKS </t>
  </si>
  <si>
    <t xml:space="preserve">krelon              </t>
  </si>
  <si>
    <t>03/05/2019 13:56:14 ssh DUR POD confirmed on NTS</t>
  </si>
  <si>
    <t>IMP AUTOMATED LABORA</t>
  </si>
  <si>
    <t xml:space="preserve">vusi                </t>
  </si>
  <si>
    <t>RANDBURG</t>
  </si>
  <si>
    <t xml:space="preserve">IPACKCHEM PTY LTD   </t>
  </si>
  <si>
    <t xml:space="preserve">avinash             </t>
  </si>
  <si>
    <t>STEELWOOD INTERNATIO</t>
  </si>
  <si>
    <t xml:space="preserve">signed              </t>
  </si>
  <si>
    <t xml:space="preserve">KRONES SA PTY LTD   </t>
  </si>
  <si>
    <t xml:space="preserve">amos                </t>
  </si>
  <si>
    <t>FAMOUS BRANDS MANAGE</t>
  </si>
  <si>
    <t>Saint-Gobain Constru</t>
  </si>
  <si>
    <t xml:space="preserve">THINO               </t>
  </si>
  <si>
    <t>REEF CONSTRUCTION MA</t>
  </si>
  <si>
    <t xml:space="preserve">PATISWA             </t>
  </si>
  <si>
    <t>POLYOAK PACKAGING PT</t>
  </si>
  <si>
    <t xml:space="preserve">SINENHLANHLA        </t>
  </si>
  <si>
    <t xml:space="preserve">UNIVERSAL AUTOMATED </t>
  </si>
  <si>
    <t xml:space="preserve">NADIA               </t>
  </si>
  <si>
    <t>ACCUTECH WEIGHING SE</t>
  </si>
  <si>
    <t xml:space="preserve">benjamin            </t>
  </si>
  <si>
    <t xml:space="preserve">thuthu              </t>
  </si>
  <si>
    <t xml:space="preserve">EMMA                </t>
  </si>
  <si>
    <t>06/05/2019 17:45:37 moa JNX POD confirmed on NTS</t>
  </si>
  <si>
    <t>03/05/2019 19:21:32 NLG PLZ POD confirmed on NTS</t>
  </si>
  <si>
    <t>07/05/2019 10:31:38 NGF CPT POD confirmed on NTS</t>
  </si>
  <si>
    <t>LEONARD DIGLER (PTY)</t>
  </si>
  <si>
    <t xml:space="preserve">absalom             </t>
  </si>
  <si>
    <t xml:space="preserve">AGRIPLAS            </t>
  </si>
  <si>
    <t xml:space="preserve">w sassman           </t>
  </si>
  <si>
    <t>03/05/2019 17:47:59 els CPT POD confirmed on NTS</t>
  </si>
  <si>
    <t>CONSOL GLASS (PTY) L</t>
  </si>
  <si>
    <t xml:space="preserve">Linda               </t>
  </si>
  <si>
    <t>03/05/2019 15:34:41 cvd CPT POD confirmed on NTS</t>
  </si>
  <si>
    <t>GRIPPER   CO (PTY) L</t>
  </si>
  <si>
    <t xml:space="preserve">Kariema             </t>
  </si>
  <si>
    <t>03/05/2019 16:51:38 cvd CPT POD confirmed on NTS</t>
  </si>
  <si>
    <t>ANDERSON ENGINEERING</t>
  </si>
  <si>
    <t xml:space="preserve">Rejoice             </t>
  </si>
  <si>
    <t>03/05/2019 16:25:28 NIS PZB POD confirmed on NTS</t>
  </si>
  <si>
    <t>PINETOWN</t>
  </si>
  <si>
    <t>WINTERTIDE TRADING 6</t>
  </si>
  <si>
    <t xml:space="preserve">mai                 </t>
  </si>
  <si>
    <t>03/05/2019 12:15:27 ssh DUR POD confirmed on NTS</t>
  </si>
  <si>
    <t>CLIFFORD WELDING SYS</t>
  </si>
  <si>
    <t xml:space="preserve">Sean                </t>
  </si>
  <si>
    <t>03/05/2019 15:34:27 NIS PZB POD confirmed on NTS</t>
  </si>
  <si>
    <t xml:space="preserve">IDWALA CARBONATES   </t>
  </si>
  <si>
    <t xml:space="preserve">kerusha             </t>
  </si>
  <si>
    <t>03/05/2019 17:48:24 ssh DUR POD confirmed on NTS</t>
  </si>
  <si>
    <t>UNILEVER SOUTH AFRIC</t>
  </si>
  <si>
    <t xml:space="preserve">kats                </t>
  </si>
  <si>
    <t>03/05/2019 13:56:36 ssh DUR POD confirmed on NTS</t>
  </si>
  <si>
    <t xml:space="preserve">PIONEER FOODS (PTY) </t>
  </si>
  <si>
    <t xml:space="preserve">C ROSSOUW           </t>
  </si>
  <si>
    <t>07/05/2019 10:31:28 NGF CPT POD confirmed on NTS</t>
  </si>
  <si>
    <t xml:space="preserve">FESTO DUR OFFICE    </t>
  </si>
  <si>
    <t xml:space="preserve">brett               </t>
  </si>
  <si>
    <t>03/05/2019 14:28:46 ssh DUR POD confirmed on NTS</t>
  </si>
  <si>
    <t xml:space="preserve">THERMAL FUSION CC   </t>
  </si>
  <si>
    <t xml:space="preserve">spla                </t>
  </si>
  <si>
    <t>03/05/2019 12:55:49 ssh DUR POD confirmed on NTS</t>
  </si>
  <si>
    <t>ACEPAK PACKAGING SYS</t>
  </si>
  <si>
    <t xml:space="preserve">wilbur              </t>
  </si>
  <si>
    <t>03/05/2019 18:48:57 cvd CPT POD confirmed on NTS</t>
  </si>
  <si>
    <t>NATIONAL PACKAGING S</t>
  </si>
  <si>
    <t xml:space="preserve">G LUNDALL           </t>
  </si>
  <si>
    <t>03/05/2019 11:32:10 ssh DUR POD confirmed on NTS</t>
  </si>
  <si>
    <t>COMPRESSED AIR EQUIP</t>
  </si>
  <si>
    <t xml:space="preserve">noma                </t>
  </si>
  <si>
    <t>03/05/2019 14:29:08 ssh DUR POD confirmed on NTS</t>
  </si>
  <si>
    <t xml:space="preserve">GOSSAMER STRUCTURES </t>
  </si>
  <si>
    <t>03/05/2019 17:38:19 els CPT POD confirmed on NTS</t>
  </si>
  <si>
    <t>03/05/2019 11:32:16 ssh DUR POD confirmed on NTS</t>
  </si>
  <si>
    <t>J.J PRECISION PLASTI</t>
  </si>
  <si>
    <t xml:space="preserve">Sthandiwe           </t>
  </si>
  <si>
    <t>03/05/2019 11:32:03 ssh DUR POD confirmed on NTS</t>
  </si>
  <si>
    <t>FILMATIC PACKAGING S</t>
  </si>
  <si>
    <t xml:space="preserve">Gary                </t>
  </si>
  <si>
    <t>03/05/2019 18:53:51 cvd CPT POD confirmed on NTS</t>
  </si>
  <si>
    <t>LEDA ENGINEERING SER</t>
  </si>
  <si>
    <t xml:space="preserve">MARISHA             </t>
  </si>
  <si>
    <t>06/05/2019 19:23:51 NGF CPT POD confirmed on NTS</t>
  </si>
  <si>
    <t>NR EXTREME ENGINEERI</t>
  </si>
  <si>
    <t xml:space="preserve">jenefer             </t>
  </si>
  <si>
    <t>03/05/2019 12:56:14 ssh DUR POD confirmed on NTS</t>
  </si>
  <si>
    <t>GEBO CERMEX SA PTY L</t>
  </si>
  <si>
    <t xml:space="preserve">weesaam             </t>
  </si>
  <si>
    <t>03/05/2019 15:33:36 cvd CPT POD confirmed on NTS</t>
  </si>
  <si>
    <t>03/05/2019 18:48:25 cvd CPT POD confirmed on NTS</t>
  </si>
  <si>
    <t>06/05/2019 19:23:34 NGF CPT POD confirmed on NTS</t>
  </si>
  <si>
    <t>PRO PROJECT ENGINEER</t>
  </si>
  <si>
    <t>03/05/2019 18:44:18 els CPT POD confirmed on NTS</t>
  </si>
  <si>
    <t>DIYA VALVES INTERNAT</t>
  </si>
  <si>
    <t xml:space="preserve">sheriff             </t>
  </si>
  <si>
    <t>03/05/2019 15:13:56 NIS PZB POD confirmed on NTS</t>
  </si>
  <si>
    <t>03/05/2019 15:34:18 cvd CPT POD confirmed on NTS</t>
  </si>
  <si>
    <t>RCL FOODS CONSUMER P</t>
  </si>
  <si>
    <t xml:space="preserve">R BOOYSEN           </t>
  </si>
  <si>
    <t>07/05/2019 10:31:15 NGF CPT POD confirmed on NTS</t>
  </si>
  <si>
    <t>03/05/2019 15:34:31 cvd CPT POD confirmed on NTS</t>
  </si>
  <si>
    <t>03/05/2019 15:34:52 cvd CPT POD confirmed on NTS</t>
  </si>
  <si>
    <t>PRESSURE DIE CASTING</t>
  </si>
  <si>
    <t xml:space="preserve">nkosinathi          </t>
  </si>
  <si>
    <t>03/05/2019 16:25:11 NIS PZB POD confirmed on NTS</t>
  </si>
  <si>
    <t>FUEL INDUSTRY SERVIC</t>
  </si>
  <si>
    <t xml:space="preserve">G Ermer             </t>
  </si>
  <si>
    <t>03/05/2019 17:30:52 cvd CPT POD confirmed on NTS</t>
  </si>
  <si>
    <t>03/05/2019 19:21:05 NLG PLZ POD confirmed on NTS</t>
  </si>
  <si>
    <t>03/05/2019 19:21:10 NLG PLZ POD confirmed on NTS</t>
  </si>
  <si>
    <t>03/05/2019 19:22:16 NLG PLZ POD confirmed on NTS</t>
  </si>
  <si>
    <t>FAIR CAPE DAIRIES (P</t>
  </si>
  <si>
    <t xml:space="preserve">bernard             </t>
  </si>
  <si>
    <t>03/05/2019 17:30:36 cvd CPT POD confirmed on NTS</t>
  </si>
  <si>
    <t xml:space="preserve">Nivesh              </t>
  </si>
  <si>
    <t>03/05/2019 15:33:48 NIS PZB POD confirmed on NTS</t>
  </si>
  <si>
    <t>03/05/2019 19:21:57 NLG PLZ POD confirmed on NTS</t>
  </si>
  <si>
    <t>03/05/2019 19:21:41 NLG PLZ POD confirmed on NTS</t>
  </si>
  <si>
    <t>03/05/2019 19:22:24 NLG PLZ POD confirmed on NTS</t>
  </si>
  <si>
    <t>03/05/2019 19:22:34 NLG PLZ POD confirmed on NTS</t>
  </si>
  <si>
    <t>03/05/2019 19:21:27 NLG PLZ POD confirmed on NTS</t>
  </si>
  <si>
    <t>03/05/2019 19:22:06 NLG PLZ POD confirmed on NTS</t>
  </si>
  <si>
    <t>03/05/2019 19:22:11 NLG PLZ POD confirmed on NTS</t>
  </si>
  <si>
    <t>03/05/2019 19:22:01 NLG PLZ POD confirmed on NTS</t>
  </si>
  <si>
    <t>DESPATCH</t>
  </si>
  <si>
    <t xml:space="preserve">CORNING PRODUCTS    </t>
  </si>
  <si>
    <t xml:space="preserve">t xego              </t>
  </si>
  <si>
    <t>03/05/2019 18:46:46 NLG PLZ POD confirmed on NTS</t>
  </si>
  <si>
    <t>03/05/2019 19:23:21 NLG PLZ POD confirmed on NTS</t>
  </si>
  <si>
    <t>03/05/2019 19:22:53 NLG PLZ POD confirmed on NTS</t>
  </si>
  <si>
    <t>03/05/2019 19:22:21 NLG PLZ POD confirmed on NTS</t>
  </si>
  <si>
    <t>03/05/2019 19:22:50 NLG PLZ POD confirmed on NTS</t>
  </si>
  <si>
    <t>03/05/2019 19:23:25 NLG PLZ POD confirmed on NTS</t>
  </si>
  <si>
    <t>03/05/2019 19:22:43 NLG PLZ POD confirmed on NTS</t>
  </si>
  <si>
    <t>03/05/2019 19:23:05 NLG PLZ POD confirmed on NTS</t>
  </si>
  <si>
    <t>03/05/2019 19:22:29 NLG PLZ POD confirmed on NTS</t>
  </si>
  <si>
    <t xml:space="preserve">DETPAK SA (PTY)LTD  </t>
  </si>
  <si>
    <t xml:space="preserve">CALVIN              </t>
  </si>
  <si>
    <t>03/05/2019 19:55:26 TES JNX POD confirmed on NTS</t>
  </si>
  <si>
    <t>SHATTERPRUFE TRADING</t>
  </si>
  <si>
    <t xml:space="preserve">CHARMELLE           </t>
  </si>
  <si>
    <t>03/05/2019 18:48:15 NLG PLZ POD confirmed on NTS</t>
  </si>
  <si>
    <t>INCORRECTLY SUP</t>
  </si>
  <si>
    <t xml:space="preserve">BEARING   HYDRAULIC </t>
  </si>
  <si>
    <t xml:space="preserve">eleaner             </t>
  </si>
  <si>
    <t>PRY</t>
  </si>
  <si>
    <t>PRETORIA</t>
  </si>
  <si>
    <t>SANOFI INDUSTRIES SA</t>
  </si>
  <si>
    <t>03/05/2019 15:33:13 blm PRY POD confirmed on NTS</t>
  </si>
  <si>
    <t xml:space="preserve">FORD MOTORING CO OF </t>
  </si>
  <si>
    <t xml:space="preserve">KA MOLOTO           </t>
  </si>
  <si>
    <t>03/05/2019 15:33:30 blm PRY POD confirmed on NTS</t>
  </si>
  <si>
    <t xml:space="preserve">PROMAX              </t>
  </si>
  <si>
    <t xml:space="preserve">Marenique           </t>
  </si>
  <si>
    <t>03/05/2019 16:33:03 blm PRY POD confirmed on NTS</t>
  </si>
  <si>
    <t>RBG</t>
  </si>
  <si>
    <t>BRITS</t>
  </si>
  <si>
    <t>TRANSVAAL HYDRAULICS</t>
  </si>
  <si>
    <t xml:space="preserve">corrie              </t>
  </si>
  <si>
    <t>03/05/2019 16:42:46 nks RBG POD confirmed on NTS</t>
  </si>
  <si>
    <t>2170686111 c179</t>
  </si>
  <si>
    <t>CLOVER MILKWAY (PTY)</t>
  </si>
  <si>
    <t xml:space="preserve">CLOVER MILKWAY  PTY </t>
  </si>
  <si>
    <t>07/05/2019 17:15:31 moo PRY POD confirmed on NTS</t>
  </si>
  <si>
    <t>CENTURION</t>
  </si>
  <si>
    <t>PRODUCTIVE SYSTEMS C</t>
  </si>
  <si>
    <t xml:space="preserve">Alfred              </t>
  </si>
  <si>
    <t>03/05/2019 16:00:50 moo PRY POD confirmed on NTS</t>
  </si>
  <si>
    <t>MA CONSUME   MAITENA</t>
  </si>
  <si>
    <t xml:space="preserve">FLOYD               </t>
  </si>
  <si>
    <t>03/05/2019 16:45:29 blm PRY POD confirmed on NTS</t>
  </si>
  <si>
    <t>HAMMANSKRAAL</t>
  </si>
  <si>
    <t xml:space="preserve">NESTLE SA           </t>
  </si>
  <si>
    <t xml:space="preserve">boitumelo           </t>
  </si>
  <si>
    <t>03/05/2019 18:39:32 moo PRY POD confirmed on NTS</t>
  </si>
  <si>
    <t xml:space="preserve">sina                </t>
  </si>
  <si>
    <t>03/05/2019 17:57:42 moo PRY POD confirmed on NTS</t>
  </si>
  <si>
    <t>NEW</t>
  </si>
  <si>
    <t>PIET RETIEF</t>
  </si>
  <si>
    <t>PUMPS   TRANSMISSION</t>
  </si>
  <si>
    <t xml:space="preserve">SIGNED              </t>
  </si>
  <si>
    <t>03/05/2019 18:12:40 phr NEW POD confirmed on NTS</t>
  </si>
  <si>
    <t>03/05/2019 18:40:25 moo PRY POD confirmed on NTS</t>
  </si>
  <si>
    <t xml:space="preserve">MARCE FIRE FIGHTING </t>
  </si>
  <si>
    <t xml:space="preserve">FANNY               </t>
  </si>
  <si>
    <t>03/05/2019 17:33:29 moo PRY POD confirmed on NTS</t>
  </si>
  <si>
    <t xml:space="preserve">MAVTECH             </t>
  </si>
  <si>
    <t xml:space="preserve">Neo                 </t>
  </si>
  <si>
    <t>03/05/2019 16:01:18 moo PRY POD confirmed on NTS</t>
  </si>
  <si>
    <t>03/05/2019 18:47:16 cvd CPT POD confirmed on NTS</t>
  </si>
  <si>
    <t xml:space="preserve">AIRTEC PNEUMATI Cc  </t>
  </si>
  <si>
    <t>VICTORY ELECTRICAL C</t>
  </si>
  <si>
    <t xml:space="preserve">soul                </t>
  </si>
  <si>
    <t>03/05/2019 16:08:38 cvd CPT POD confirmed on NTS</t>
  </si>
  <si>
    <t xml:space="preserve">DISTELL (PTY) LTD   </t>
  </si>
  <si>
    <t xml:space="preserve">Distell             </t>
  </si>
  <si>
    <t>03/05/2019 18:46:39 NLG PLZ POD confirmed on NTS</t>
  </si>
  <si>
    <t>UITENHAGE</t>
  </si>
  <si>
    <t>GOODYEAR SOUTH AFRIC</t>
  </si>
  <si>
    <t xml:space="preserve">Austin              </t>
  </si>
  <si>
    <t>03/05/2019 19:05:21 NLG PLZ POD confirmed on NTS</t>
  </si>
  <si>
    <t>REHAU POLYMER PTY LT</t>
  </si>
  <si>
    <t xml:space="preserve">thsbo               </t>
  </si>
  <si>
    <t>03/05/2019 19:05:07 NLG PLZ POD confirmed on NTS</t>
  </si>
  <si>
    <t>YANFENG SA AUTOMOTIV</t>
  </si>
  <si>
    <t xml:space="preserve">mhla                </t>
  </si>
  <si>
    <t>03/05/2019 12:54:26 AVW ELS POD confirmed on NTS</t>
  </si>
  <si>
    <t>03/05/2019 12:53:42 AVW ELS POD confirmed on NTS</t>
  </si>
  <si>
    <t>POLYOAK PACKAGING (P</t>
  </si>
  <si>
    <t xml:space="preserve">khaya               </t>
  </si>
  <si>
    <t>03/05/2019 12:53:31 AVW ELS POD confirmed on NTS</t>
  </si>
  <si>
    <t>03/05/2019 19:21:52 NLG PLZ POD confirmed on NTS</t>
  </si>
  <si>
    <t xml:space="preserve">CONTINENTAL TYRE SA </t>
  </si>
  <si>
    <t xml:space="preserve">nandi               </t>
  </si>
  <si>
    <t>03/05/2019 18:40:16 NLG PLZ POD confirmed on NTS</t>
  </si>
  <si>
    <t xml:space="preserve">CLURE PROJECTS CC   </t>
  </si>
  <si>
    <t xml:space="preserve">NATHAN              </t>
  </si>
  <si>
    <t>03/05/2019 18:41:18 NLG PLZ POD confirmed on NTS</t>
  </si>
  <si>
    <t>03/05/2019 18:47:53 cvd CPT POD confirmed on NTS</t>
  </si>
  <si>
    <t>03/05/2019 18:41:10 NLG PLZ POD confirmed on NTS</t>
  </si>
  <si>
    <t>EBERSPACHER SOUTH AF</t>
  </si>
  <si>
    <t xml:space="preserve">cindy               </t>
  </si>
  <si>
    <t>03/05/2019 18:46:15 NLG PLZ POD confirmed on NTS</t>
  </si>
  <si>
    <t>03/05/2019 18:46:20 NLG PLZ POD confirmed on NTS</t>
  </si>
  <si>
    <t>TI AUTOMOTIVE FUEL S</t>
  </si>
  <si>
    <t xml:space="preserve">julia               </t>
  </si>
  <si>
    <t>03/05/2019 12:54:43 AVW ELS POD confirmed on NTS</t>
  </si>
  <si>
    <t>03/05/2019 18:46:41 cvd CPT POD confirmed on NTS</t>
  </si>
  <si>
    <t>03/05/2019 18:47:34 cvd CPT POD confirmed on NTS</t>
  </si>
  <si>
    <t>ROV DURRANT ENGINEER</t>
  </si>
  <si>
    <t xml:space="preserve">henni               </t>
  </si>
  <si>
    <t>03/05/2019 18:39:10 NLG PLZ POD confirmed on NTS</t>
  </si>
  <si>
    <t>GENERAL MOTORS SA PT</t>
  </si>
  <si>
    <t>03/05/2019 18:46:53 NLG PLZ POD confirmed on NTS</t>
  </si>
  <si>
    <t>03/05/2019 19:21:17 NLG PLZ POD confirmed on NTS</t>
  </si>
  <si>
    <t>SPICER AXLE (PTY) LT</t>
  </si>
  <si>
    <t xml:space="preserve">carika              </t>
  </si>
  <si>
    <t>03/05/2019 19:06:10 NLG PLZ POD confirmed on NTS</t>
  </si>
  <si>
    <t>03/05/2019 19:21:22 NLG PLZ POD confirmed on NTS</t>
  </si>
  <si>
    <t>03/05/2019 19:21:00 NLG PLZ POD confirmed on NTS</t>
  </si>
  <si>
    <t>03/05/2019 19:21:37 NLG PLZ POD confirmed on NTS</t>
  </si>
  <si>
    <t>03/05/2019 19:21:45 NLG PLZ POD confirmed on NTS</t>
  </si>
  <si>
    <t xml:space="preserve">NESTLE SOUTH AFRICA </t>
  </si>
  <si>
    <t xml:space="preserve">Terry               </t>
  </si>
  <si>
    <t>03/05/2019 13:03:19 AVW ELS POD confirmed on NTS</t>
  </si>
  <si>
    <t xml:space="preserve">wicbur              </t>
  </si>
  <si>
    <t>03/05/2019 18:45:33 cvd CPT POD confirmed on NTS</t>
  </si>
  <si>
    <t>03/05/2019 18:55:29 cvd CPT POD confirmed on NTS</t>
  </si>
  <si>
    <t>TONGAAT HULETT STARC</t>
  </si>
  <si>
    <t xml:space="preserve">Emanuel             </t>
  </si>
  <si>
    <t>03/05/2019 15:33:50 cvd CPT POD confirmed on NTS</t>
  </si>
  <si>
    <t xml:space="preserve">QUALIPAK (PTY) LTD  </t>
  </si>
  <si>
    <t xml:space="preserve">Fraser              </t>
  </si>
  <si>
    <t>03/05/2019 18:53:32 cvd CPT POD confirmed on NTS</t>
  </si>
  <si>
    <t xml:space="preserve">CTP PRINTERS CPT    </t>
  </si>
  <si>
    <t xml:space="preserve">africa              </t>
  </si>
  <si>
    <t>03/05/2019 16:16:42 cvd CPT POD confirmed on NTS</t>
  </si>
  <si>
    <t xml:space="preserve">ERECH ROOS          </t>
  </si>
  <si>
    <t xml:space="preserve">C ROOS              </t>
  </si>
  <si>
    <t>03/05/2019 18:54:19 cvd CPT POD confirmed on NTS</t>
  </si>
  <si>
    <t>03/05/2019 18:54:05 cvd CPT POD confirmed on NTS</t>
  </si>
  <si>
    <t>03/05/2019 16:07:52 cvd CPT POD confirmed on NTS</t>
  </si>
  <si>
    <t>03/05/2019 18:55:00 cvd CPT POD confirmed on NTS</t>
  </si>
  <si>
    <t xml:space="preserve">RHODES FOOD GROUP   </t>
  </si>
  <si>
    <t>A.P.L. CARTONS (PTY)</t>
  </si>
  <si>
    <t xml:space="preserve">NORAN               </t>
  </si>
  <si>
    <t>07/05/2019 10:30:16 NGF CPT POD confirmed on NTS</t>
  </si>
  <si>
    <t xml:space="preserve">ABSOLUTE AFRICA     </t>
  </si>
  <si>
    <t xml:space="preserve">NICHOLAS            </t>
  </si>
  <si>
    <t>ALBERTON</t>
  </si>
  <si>
    <t xml:space="preserve">BANDAG SOUHT AFRICA </t>
  </si>
  <si>
    <t xml:space="preserve">Daniel              </t>
  </si>
  <si>
    <t>AUTOPAC MACHINERY CO</t>
  </si>
  <si>
    <t xml:space="preserve">courtney            </t>
  </si>
  <si>
    <t xml:space="preserve">DALE SPIRAL SYSTEMS </t>
  </si>
  <si>
    <t xml:space="preserve">lindie              </t>
  </si>
  <si>
    <t>SASOLBURG</t>
  </si>
  <si>
    <t>COREL INSTRUMENTATIO</t>
  </si>
  <si>
    <t xml:space="preserve">Charon              </t>
  </si>
  <si>
    <t>07/05/2019 10:30:05 NGF CPT POD confirmed on NTS</t>
  </si>
  <si>
    <t>GRJ</t>
  </si>
  <si>
    <t>GEORGE</t>
  </si>
  <si>
    <t xml:space="preserve">BMG GEORGE 0122     </t>
  </si>
  <si>
    <t xml:space="preserve">ryan                </t>
  </si>
  <si>
    <t>03/05/2019 21:44:32 seb GRJ POD confirmed on NTS</t>
  </si>
  <si>
    <t>IMANA FOODS SA (PTY)</t>
  </si>
  <si>
    <t xml:space="preserve">thokozana           </t>
  </si>
  <si>
    <t>03/05/2019 12:19:39 ssh DUR POD confirmed on NTS</t>
  </si>
  <si>
    <t>ISIPINGO</t>
  </si>
  <si>
    <t>SPEC TOOL   DIE   GE</t>
  </si>
  <si>
    <t xml:space="preserve">jacky               </t>
  </si>
  <si>
    <t>03/05/2019 14:13:17 ssh DUR POD confirmed on NTS</t>
  </si>
  <si>
    <t>0017063719 G.U.D Hol</t>
  </si>
  <si>
    <t xml:space="preserve">annitha             </t>
  </si>
  <si>
    <t>03/05/2019 16:23:43 NIS PZB POD confirmed on NTS</t>
  </si>
  <si>
    <t>BEH</t>
  </si>
  <si>
    <t>HARRISMITH</t>
  </si>
  <si>
    <t xml:space="preserve">NRTHOMBI            </t>
  </si>
  <si>
    <t>03/05/2019 17:43:34 ADR BEH POD confirmed on NTS</t>
  </si>
  <si>
    <t xml:space="preserve">NTHOMBI             </t>
  </si>
  <si>
    <t>03/05/2019 17:43:52 ADR BEH POD confirmed on NTS</t>
  </si>
  <si>
    <t xml:space="preserve">Vukani              </t>
  </si>
  <si>
    <t>03/05/2019 17:19:25 NIS PZB POD confirmed on NTS</t>
  </si>
  <si>
    <t>JACOBS</t>
  </si>
  <si>
    <t xml:space="preserve">AMS BEARING CC      </t>
  </si>
  <si>
    <t xml:space="preserve">Amon                </t>
  </si>
  <si>
    <t>03/05/2019 14:16:16 ssh DUR POD confirmed on NTS</t>
  </si>
  <si>
    <t>MAHLE BEHR SOUTH AFR</t>
  </si>
  <si>
    <t xml:space="preserve">thobile             </t>
  </si>
  <si>
    <t>03/05/2019 12:14:55 ssh DUR POD confirmed on NTS</t>
  </si>
  <si>
    <t>GLEDHOW SUGAR CO. PT</t>
  </si>
  <si>
    <t xml:space="preserve">basil               </t>
  </si>
  <si>
    <t>03/05/2019 12:39:35 ssh DUR POD confirmed on NTS</t>
  </si>
  <si>
    <t>UMHLANGA ROCKS</t>
  </si>
  <si>
    <t xml:space="preserve">ILLOVO SUGAR        </t>
  </si>
  <si>
    <t>03/05/2019 12:39:41 ssh DUR POD confirmed on NTS</t>
  </si>
  <si>
    <t>GENERAL PNEUMATICS N</t>
  </si>
  <si>
    <t xml:space="preserve">bongani             </t>
  </si>
  <si>
    <t>03/05/2019 12:15:20 ssh DUR POD confirmed on NTS</t>
  </si>
  <si>
    <t>VERULAM</t>
  </si>
  <si>
    <t>HP HOSE   FITTING SP</t>
  </si>
  <si>
    <t xml:space="preserve">kimona              </t>
  </si>
  <si>
    <t>03/05/2019 16:12:24 ssh DUR POD confirmed on NTS</t>
  </si>
  <si>
    <t>03/05/2019 17:19:12 NIS PZB POD confirmed on NTS</t>
  </si>
  <si>
    <t xml:space="preserve">CROSSLEY HOLDINGS   </t>
  </si>
  <si>
    <t xml:space="preserve">mthato              </t>
  </si>
  <si>
    <t>03/05/2019 14:13:00 ssh DUR POD confirmed on NTS</t>
  </si>
  <si>
    <t>03/05/2019 12:39:25 ssh DUR POD confirmed on NTS</t>
  </si>
  <si>
    <t xml:space="preserve">PAILPAC PTY LTD     </t>
  </si>
  <si>
    <t xml:space="preserve">Doreen              </t>
  </si>
  <si>
    <t>03/05/2019 12:15:38 ssh DUR POD confirmed on NTS</t>
  </si>
  <si>
    <t xml:space="preserve">Festo               </t>
  </si>
  <si>
    <t xml:space="preserve">bingo               </t>
  </si>
  <si>
    <t xml:space="preserve">RFES1162687167      </t>
  </si>
  <si>
    <t>CULINARY A DIV OF TI</t>
  </si>
  <si>
    <t xml:space="preserve">morris              </t>
  </si>
  <si>
    <t xml:space="preserve">illeg               </t>
  </si>
  <si>
    <t>06/05/2019 17:59:03 mmd JNX POD confirmed on NTS</t>
  </si>
  <si>
    <t>RAPID INDUSTRIAL SUP</t>
  </si>
  <si>
    <t xml:space="preserve">JASH                </t>
  </si>
  <si>
    <t>03/05/2019 18:48:10 cvd CPT POD confirmed on NTS</t>
  </si>
  <si>
    <t>FLOWSERVE SA PTY LTD</t>
  </si>
  <si>
    <t xml:space="preserve">sammy               </t>
  </si>
  <si>
    <t>06/05/2019 18:12:05 mmd JNX POD confirmed on NTS</t>
  </si>
  <si>
    <t>03/05/2019 19:22:46 NLG PLZ POD confirmed on NTS</t>
  </si>
  <si>
    <t>03/05/2019 19:23:11 NLG PLZ POD confirmed on NTS</t>
  </si>
  <si>
    <t>BARROWS DESIGN   MAN</t>
  </si>
  <si>
    <t xml:space="preserve">sindy               </t>
  </si>
  <si>
    <t>03/05/2019 16:19:06 ssh DUR POD confirmed on NTS</t>
  </si>
  <si>
    <t xml:space="preserve">FRAGILE OIL    </t>
  </si>
  <si>
    <t>03/05/2019 17:18:59 NIS PZB POD confirmed on NTS</t>
  </si>
  <si>
    <t>03/05/2019 15:33:18 NIS PZB POD confirmed on NTS</t>
  </si>
  <si>
    <t xml:space="preserve">FACTORY AUTOMATION  </t>
  </si>
  <si>
    <t xml:space="preserve">brenda              </t>
  </si>
  <si>
    <t>03/05/2019 17:56:26 moo PRY POD confirmed on NTS</t>
  </si>
  <si>
    <t xml:space="preserve">SUPPLYRITE CC       </t>
  </si>
  <si>
    <t xml:space="preserve">TIM                 </t>
  </si>
  <si>
    <t>03/05/2019 15:33:33 NIS PZB POD confirmed on NTS</t>
  </si>
  <si>
    <t xml:space="preserve">PAILPRINT PTY LTD   </t>
  </si>
  <si>
    <t>03/05/2019 12:19:12 ssh DUR POD confirmed on NTS</t>
  </si>
  <si>
    <t>03/05/2019 16:00:41 moo PRY POD confirmed on NTS</t>
  </si>
  <si>
    <t>BRIDGESTONE FIRESTON</t>
  </si>
  <si>
    <t xml:space="preserve">M fourie            </t>
  </si>
  <si>
    <t>03/05/2019 16:42:57 nks RBG POD confirmed on NTS</t>
  </si>
  <si>
    <t>AUTO INDUSTRIAL MACH</t>
  </si>
  <si>
    <t xml:space="preserve">BHEKI               </t>
  </si>
  <si>
    <t>03/05/2019 16:33:28 blm PRY POD confirmed on NTS</t>
  </si>
  <si>
    <t>03/05/2019 17:33:25 moo PRY POD confirmed on NTS</t>
  </si>
  <si>
    <t xml:space="preserve">ILLOVO SUGAR LTD    </t>
  </si>
  <si>
    <t xml:space="preserve">PATRICK             </t>
  </si>
  <si>
    <t>SMITHS MANUFACTURING</t>
  </si>
  <si>
    <t xml:space="preserve">sbahle              </t>
  </si>
  <si>
    <t>03/05/2019 12:17:42 ssh DUR POD confirmed on NTS</t>
  </si>
  <si>
    <t>03/05/2019 18:46:59 cvd CPT POD confirmed on NTS</t>
  </si>
  <si>
    <t>ELECTRO-MECH SERVICE</t>
  </si>
  <si>
    <t xml:space="preserve">PIERRE              </t>
  </si>
  <si>
    <t>03/05/2019 18:46:05 cvd CPT POD confirmed on NTS</t>
  </si>
  <si>
    <t>03/05/2019 18:17:51 els CPT POD confirmed on NTS</t>
  </si>
  <si>
    <t>03/05/2019 16:00:30 moo PRY POD confirmed on NTS</t>
  </si>
  <si>
    <t>FESTIVE A DIV OF AST</t>
  </si>
  <si>
    <t>WIT</t>
  </si>
  <si>
    <t>GROBLERSDAL</t>
  </si>
  <si>
    <t>FARM LOSKOP NORTH JS</t>
  </si>
  <si>
    <t xml:space="preserve">SEINAH              </t>
  </si>
  <si>
    <t>03/05/2019 18:15:20 HAP WIT POD confirmed on NTS</t>
  </si>
  <si>
    <t>03/05/2019 16:33:32 blm PRY POD confirmed on NTS</t>
  </si>
  <si>
    <t>03/05/2019 16:00:45 moo PRY POD confirmed on NTS</t>
  </si>
  <si>
    <t xml:space="preserve">J MEYER ENGINEERING </t>
  </si>
  <si>
    <t xml:space="preserve">riaab               </t>
  </si>
  <si>
    <t>03/05/2019 17:28:53 moo PRY POD confirmed on NTS</t>
  </si>
  <si>
    <t>FIRST NATIONAL BATTE</t>
  </si>
  <si>
    <t xml:space="preserve">bylie               </t>
  </si>
  <si>
    <t>03/05/2019 12:53:07 AVW ELS POD confirmed on NTS</t>
  </si>
  <si>
    <t>06/05/2019 17:46:21 moa JNX POD confirmed on NTS</t>
  </si>
  <si>
    <t>03/05/2019 19:22:38 NLG PLZ POD confirmed on NTS</t>
  </si>
  <si>
    <t>03/05/2019 19:20:36 NLG PLZ POD confirmed on NTS</t>
  </si>
  <si>
    <t xml:space="preserve">AFRIT PTY LTD       </t>
  </si>
  <si>
    <t xml:space="preserve">RIAAN               </t>
  </si>
  <si>
    <t>03/05/2019 16:45:43 blm PRY POD confirmed on NTS</t>
  </si>
  <si>
    <t>03/05/2019 18:41:27 NLG PLZ POD confirmed on NTS</t>
  </si>
  <si>
    <t>03/05/2019 19:22:57 NLG PLZ POD confirmed on NTS</t>
  </si>
  <si>
    <t xml:space="preserve">UMICORE CATALYST SA </t>
  </si>
  <si>
    <t xml:space="preserve">Christopher         </t>
  </si>
  <si>
    <t>03/05/2019 18:45:50 NLG PLZ POD confirmed on NTS</t>
  </si>
  <si>
    <t>VOLKSWAGEN OF SA (VC</t>
  </si>
  <si>
    <t xml:space="preserve">novuyo              </t>
  </si>
  <si>
    <t>03/05/2019 19:06:16 NLG PLZ POD confirmed on NTS</t>
  </si>
  <si>
    <t xml:space="preserve">METROCAS CC         </t>
  </si>
  <si>
    <t>VEOLIA WATER SOLUTIO</t>
  </si>
  <si>
    <t xml:space="preserve">KAMAL               </t>
  </si>
  <si>
    <t>03/05/2019 19:23:17 NLG PLZ POD confirmed on NTS</t>
  </si>
  <si>
    <t xml:space="preserve">ISANDO FOODS        </t>
  </si>
  <si>
    <t xml:space="preserve">mubeen              </t>
  </si>
  <si>
    <t>03/05/2019 18:40:46 NLG PLZ POD confirmed on NTS</t>
  </si>
  <si>
    <t>PHARMACARE LTD T A A</t>
  </si>
  <si>
    <t xml:space="preserve">poswa2              </t>
  </si>
  <si>
    <t>03/05/2019 12:54:35 AVW ELS POD confirmed on NTS</t>
  </si>
  <si>
    <t xml:space="preserve">CINMARK ONE PTY LTD </t>
  </si>
  <si>
    <t>03/05/2019 16:01:25 moo PRY POD confirmed on NTS</t>
  </si>
  <si>
    <t>HEIDELBERG (TVL)</t>
  </si>
  <si>
    <t>BRITISH AMERICAN TOB</t>
  </si>
  <si>
    <t xml:space="preserve">bongi               </t>
  </si>
  <si>
    <t>STAR HYDRAULICS   PN</t>
  </si>
  <si>
    <t xml:space="preserve">juan                </t>
  </si>
  <si>
    <t>MAIN STREET 1477 (PT</t>
  </si>
  <si>
    <t xml:space="preserve">peter               </t>
  </si>
  <si>
    <t>RCL FOOD CONSUMER PT</t>
  </si>
  <si>
    <t xml:space="preserve">Joey                </t>
  </si>
  <si>
    <t xml:space="preserve">PREMIER FMCG        </t>
  </si>
  <si>
    <t xml:space="preserve">RENE                </t>
  </si>
  <si>
    <t xml:space="preserve">buitumelo           </t>
  </si>
  <si>
    <t>03/05/2019 18:40:04 moo PRY POD confirmed on NTS</t>
  </si>
  <si>
    <t>03/05/2019 17:43:04 ADR BEH POD confirmed on NTS</t>
  </si>
  <si>
    <t xml:space="preserve">SAPPI SA LTD        </t>
  </si>
  <si>
    <t xml:space="preserve">wayne               </t>
  </si>
  <si>
    <t>03/05/2019 16:17:41 ssh DUR POD confirmed on NTS</t>
  </si>
  <si>
    <t xml:space="preserve">QUALITECHS          </t>
  </si>
  <si>
    <t xml:space="preserve">SAM                 </t>
  </si>
  <si>
    <t>06/05/2019 17:47:36 moa JNX POD confirmed on NTS</t>
  </si>
  <si>
    <t xml:space="preserve">0IL            </t>
  </si>
  <si>
    <t xml:space="preserve">NIVESH              </t>
  </si>
  <si>
    <t>03/05/2019 15:34:13 NIS PZB POD confirmed on NTS</t>
  </si>
  <si>
    <t>03/05/2019 15:34:03 cvd CPT POD confirmed on NTS</t>
  </si>
  <si>
    <t xml:space="preserve">pamela              </t>
  </si>
  <si>
    <t>03/05/2019 13:06:48 ssh DUR POD confirmed on NTS</t>
  </si>
  <si>
    <t>03/05/2019 13:06:41 ssh DUR POD confirmed on NTS</t>
  </si>
  <si>
    <t>DEVCOTECH ELECTRICAL</t>
  </si>
  <si>
    <t xml:space="preserve">Marlon              </t>
  </si>
  <si>
    <t>03/05/2019 17:47:46 els CPT POD confirmed on NTS</t>
  </si>
  <si>
    <t>EGLI PRECISION ENGIN</t>
  </si>
  <si>
    <t xml:space="preserve">B M Nxele           </t>
  </si>
  <si>
    <t>03/05/2019 17:20:02 NIS PZB POD confirmed on NTS</t>
  </si>
  <si>
    <t>TRANSNET ENGINEERING</t>
  </si>
  <si>
    <t xml:space="preserve">mabangwe            </t>
  </si>
  <si>
    <t>06/05/2019 13:42:05 ssh DUR POD confirmed on NTS</t>
  </si>
  <si>
    <t>07/05/2019 10:32:37 NGF CPT POD confirmed on NTS</t>
  </si>
  <si>
    <t>BRONKHORSTSPRUIT</t>
  </si>
  <si>
    <t>SASOL DYNO NOBEL PTY</t>
  </si>
  <si>
    <t>03/05/2019 16:50:05 moo PRY POD confirmed on NTS</t>
  </si>
  <si>
    <t>03/05/2019 17:48:09 els CPT POD confirmed on NTS</t>
  </si>
  <si>
    <t xml:space="preserve">RESEND         </t>
  </si>
  <si>
    <t xml:space="preserve">KARN           </t>
  </si>
  <si>
    <t xml:space="preserve">FESTO CPT           </t>
  </si>
  <si>
    <t>03/05/2019 16:04:08 cvd CPT POD confirmed on NTS</t>
  </si>
  <si>
    <t>THE SOUTH AFRICAN BR</t>
  </si>
  <si>
    <t>NIGEL</t>
  </si>
  <si>
    <t>COCA COLA SHANDUKA B</t>
  </si>
  <si>
    <t xml:space="preserve">lucky               </t>
  </si>
  <si>
    <t>BENONI</t>
  </si>
  <si>
    <t>PRIMA INDUSTRIAL HOL</t>
  </si>
  <si>
    <t xml:space="preserve">MEAGAN              </t>
  </si>
  <si>
    <t xml:space="preserve">DISTELL             </t>
  </si>
  <si>
    <t xml:space="preserve">ZWELI               </t>
  </si>
  <si>
    <t>LADYSMITH (NTL)</t>
  </si>
  <si>
    <t>LADYSMITH TRADING CO</t>
  </si>
  <si>
    <t xml:space="preserve">RIA                 </t>
  </si>
  <si>
    <t>03/05/2019 17:18:22 phr NEW POD confirmed on NTS</t>
  </si>
  <si>
    <t>03/05/2019 15:14:06 NIS PZB POD confirmed on NTS</t>
  </si>
  <si>
    <t>TONGAAT</t>
  </si>
  <si>
    <t xml:space="preserve">MARLEY SA PTY LTD   </t>
  </si>
  <si>
    <t xml:space="preserve">shona               </t>
  </si>
  <si>
    <t>03/05/2019 16:12:15 ssh DUR POD confirmed on NTS</t>
  </si>
  <si>
    <t>GUD HOLDINGS (PTY)LT</t>
  </si>
  <si>
    <t xml:space="preserve">CONRAD              </t>
  </si>
  <si>
    <t>06/05/2019 13:38:31 ssh DUR POD confirmed on NTS</t>
  </si>
  <si>
    <t>03/05/2019 14:29:15 ssh DUR POD confirmed on NTS</t>
  </si>
  <si>
    <t>03/05/2019 14:29:22 ssh DUR POD confirmed on NTS</t>
  </si>
  <si>
    <t>03/05/2019 18:40:57 NLG PLZ POD confirmed on NTS</t>
  </si>
  <si>
    <t>TOYOTA SA MOTORS PTY</t>
  </si>
  <si>
    <t xml:space="preserve">makhosi             </t>
  </si>
  <si>
    <t>03/05/2019 18:52:40 SSH DUR POD confirmed on NTS</t>
  </si>
  <si>
    <t>03/05/2019 18:44:35 NLG PLZ POD confirmed on NTS</t>
  </si>
  <si>
    <t>03/05/2019 12:56:08 ssh DUR POD confirmed on NTS</t>
  </si>
  <si>
    <t>03/05/2019 14:29:01 ssh DUR POD confirmed on NTS</t>
  </si>
  <si>
    <t>EGLI PRECISION ENGEN</t>
  </si>
  <si>
    <t xml:space="preserve">B M ZAEK            </t>
  </si>
  <si>
    <t>03/05/2019 17:20:35 NIS PZB POD confirmed on NTS</t>
  </si>
  <si>
    <t xml:space="preserve">CONRO PRECISION     </t>
  </si>
  <si>
    <t xml:space="preserve">KEVIN               </t>
  </si>
  <si>
    <t>06/05/2019 18:20:54 NGF CPT POD confirmed on NTS</t>
  </si>
  <si>
    <t xml:space="preserve">david               </t>
  </si>
  <si>
    <t xml:space="preserve">justin              </t>
  </si>
  <si>
    <t>06/05/2019 15:43:01 cvd CPT POD confirmed on NTS</t>
  </si>
  <si>
    <t xml:space="preserve">S PEDRO             </t>
  </si>
  <si>
    <t>06/05/2019 18:19:51 NGF CPT POD confirmed on NTS</t>
  </si>
  <si>
    <t xml:space="preserve">Mark                </t>
  </si>
  <si>
    <t>06/05/2019 16:58:59 NGF CPT POD confirmed on NTS</t>
  </si>
  <si>
    <t xml:space="preserve">Sergio              </t>
  </si>
  <si>
    <t>06/05/2019 16:32:21 NGF CPT POD confirmed on NTS</t>
  </si>
  <si>
    <t xml:space="preserve">1 F            </t>
  </si>
  <si>
    <t>06/05/2019 16:54:22 cvd CPT POD confirmed on NTS</t>
  </si>
  <si>
    <t xml:space="preserve">JANINE              </t>
  </si>
  <si>
    <t>06/05/2019 17:31:57 NGF CPT POD confirmed on NTS</t>
  </si>
  <si>
    <t>06/05/2019 17:31:45 NGF CPT POD confirmed on NTS</t>
  </si>
  <si>
    <t xml:space="preserve">INDECON CC          </t>
  </si>
  <si>
    <t xml:space="preserve">AA LAMBRECHTS       </t>
  </si>
  <si>
    <t>06/05/2019 17:36:47 NGF CPT POD confirmed on NTS</t>
  </si>
  <si>
    <t>06/05/2019 16:37:49 NGF CPT POD confirmed on NTS</t>
  </si>
  <si>
    <t xml:space="preserve">Leonie              </t>
  </si>
  <si>
    <t>06/05/2019 16:38:18 NGF CPT POD confirmed on NTS</t>
  </si>
  <si>
    <t>RIDGE DISTRIBUTORS C</t>
  </si>
  <si>
    <t xml:space="preserve">Bennie              </t>
  </si>
  <si>
    <t>06/05/2019 16:59:02 NGF CPT POD confirmed on NTS</t>
  </si>
  <si>
    <t>06/05/2019 16:56:28 cvd CPT POD confirmed on NTS</t>
  </si>
  <si>
    <t xml:space="preserve">R GEDULD            </t>
  </si>
  <si>
    <t>06/05/2019 19:22:49 NGF CPT POD confirmed on NTS</t>
  </si>
  <si>
    <t xml:space="preserve">MA AUTOMOTIVE TOOL  </t>
  </si>
  <si>
    <t xml:space="preserve">floyel              </t>
  </si>
  <si>
    <t>06/05/2019 16:57:58 moo PRY POD confirmed on NTS</t>
  </si>
  <si>
    <t>06/05/2019 16:49:29 blm PRY POD confirmed on NTS</t>
  </si>
  <si>
    <t>06/05/2019 16:48:24 blm PRY POD confirmed on NTS</t>
  </si>
  <si>
    <t xml:space="preserve">Fischer Tube Ec Pty </t>
  </si>
  <si>
    <t xml:space="preserve">lizi                </t>
  </si>
  <si>
    <t>06/05/2019 15:41:30 moo PRY POD confirmed on NTS</t>
  </si>
  <si>
    <t>06/05/2019 16:48:51 blm PRY POD confirmed on NTS</t>
  </si>
  <si>
    <t xml:space="preserve">busi                </t>
  </si>
  <si>
    <t>06/05/2019 12:58:24 AVW ELS POD confirmed on NTS</t>
  </si>
  <si>
    <t>06/05/2019 18:10:00 NLG PLZ POD confirmed on NTS</t>
  </si>
  <si>
    <t xml:space="preserve">DKT   PARTNERS      </t>
  </si>
  <si>
    <t xml:space="preserve">LORINDA             </t>
  </si>
  <si>
    <t>06/05/2019 18:31:45 UAT PLZ POD confirmed on NTS</t>
  </si>
  <si>
    <t xml:space="preserve">Nathan              </t>
  </si>
  <si>
    <t>06/05/2019 18:52:34 UAT PLZ POD confirmed on NTS</t>
  </si>
  <si>
    <t>06/05/2019 18:32:16 UAT PLZ POD confirmed on NTS</t>
  </si>
  <si>
    <t>KW BREAD PACKAGING S</t>
  </si>
  <si>
    <t xml:space="preserve">WENDY               </t>
  </si>
  <si>
    <t>06/05/2019 16:54:33 moo PRY POD confirmed on NTS</t>
  </si>
  <si>
    <t xml:space="preserve">oupa                </t>
  </si>
  <si>
    <t>06/05/2019 18:10:14 TES JNX POD confirmed on NTS</t>
  </si>
  <si>
    <t xml:space="preserve">zakhele             </t>
  </si>
  <si>
    <t xml:space="preserve">VIDEX WIRE PRODUCTS </t>
  </si>
  <si>
    <t xml:space="preserve">thabani             </t>
  </si>
  <si>
    <t xml:space="preserve">ROBOTIC INNOVATIONS </t>
  </si>
  <si>
    <t xml:space="preserve">margret             </t>
  </si>
  <si>
    <t>06/05/2019 18:37:06 blm PRY POD confirmed on NTS</t>
  </si>
  <si>
    <t>06/05/2019 16:48:17 blm PRY POD confirmed on NTS</t>
  </si>
  <si>
    <t>ROODEPOORT</t>
  </si>
  <si>
    <t>THE HYDRAULIC CENTRE</t>
  </si>
  <si>
    <t xml:space="preserve">Kate                </t>
  </si>
  <si>
    <t xml:space="preserve">oupas               </t>
  </si>
  <si>
    <t xml:space="preserve">DYNAMIC PLASITC     </t>
  </si>
  <si>
    <t xml:space="preserve">AVION EAST RAND PTY </t>
  </si>
  <si>
    <t xml:space="preserve">morne               </t>
  </si>
  <si>
    <t xml:space="preserve">deon                </t>
  </si>
  <si>
    <t xml:space="preserve">BMW ROSSLYN         </t>
  </si>
  <si>
    <t xml:space="preserve">johannos            </t>
  </si>
  <si>
    <t>06/05/2019 16:55:49 moo PRY POD confirmed on NTS</t>
  </si>
  <si>
    <t xml:space="preserve">nare                </t>
  </si>
  <si>
    <t xml:space="preserve">PPC CEMENT SA       </t>
  </si>
  <si>
    <t xml:space="preserve">ISAAC               </t>
  </si>
  <si>
    <t>06/05/2019 17:01:25 moo PRY POD confirmed on NTS</t>
  </si>
  <si>
    <t>06/05/2019 15:45:06 cvd CPT POD confirmed on NTS</t>
  </si>
  <si>
    <t xml:space="preserve">LORBRAND (PTY)LTD   </t>
  </si>
  <si>
    <t xml:space="preserve">almane              </t>
  </si>
  <si>
    <t>06/05/2019 15:53:48 moo PRY POD confirmed on NTS</t>
  </si>
  <si>
    <t>DELMAS</t>
  </si>
  <si>
    <t>MCCAIN FOOD SOUTH AF</t>
  </si>
  <si>
    <t xml:space="preserve">DAPHNEY             </t>
  </si>
  <si>
    <t>06/05/2019 20:30:10 amt JNX POD confirmed on NTS</t>
  </si>
  <si>
    <t>TFM INDUSTRIES PTY L</t>
  </si>
  <si>
    <t xml:space="preserve">linah               </t>
  </si>
  <si>
    <t>ANALOG   DIGITAL POW</t>
  </si>
  <si>
    <t xml:space="preserve">rhono               </t>
  </si>
  <si>
    <t>06/05/2019 19:04:39 NLG PLZ POD confirmed on NTS</t>
  </si>
  <si>
    <t xml:space="preserve">A PAULSE            </t>
  </si>
  <si>
    <t>06/05/2019 17:35:59 NGF CPT POD confirmed on NTS</t>
  </si>
  <si>
    <t>06/05/2019 16:38:11 NGF CPT POD confirmed on NTS</t>
  </si>
  <si>
    <t>06/05/2019 16:58:55 NGF CPT POD confirmed on NTS</t>
  </si>
  <si>
    <t>WASSERTEC OZONE SYST</t>
  </si>
  <si>
    <t xml:space="preserve">MARTIN              </t>
  </si>
  <si>
    <t>06/05/2019 19:31:26 NGF CPT POD confirmed on NTS</t>
  </si>
  <si>
    <t xml:space="preserve">D PAULSE            </t>
  </si>
  <si>
    <t>06/05/2019 17:35:39 NGF CPT POD confirmed on NTS</t>
  </si>
  <si>
    <t>STELLENBOSCH</t>
  </si>
  <si>
    <t xml:space="preserve">TF DESIGN (PTY) LTD </t>
  </si>
  <si>
    <t xml:space="preserve">Niki                </t>
  </si>
  <si>
    <t>06/05/2019 16:25:53 NGF CPT POD confirmed on NTS</t>
  </si>
  <si>
    <t>OPEN DOOR TRADERS CC</t>
  </si>
  <si>
    <t xml:space="preserve">zahid               </t>
  </si>
  <si>
    <t>06/05/2019 17:29:25 cvd CPT POD confirmed on NTS</t>
  </si>
  <si>
    <t>UNIQUE HYDRA (PTY)LT</t>
  </si>
  <si>
    <t xml:space="preserve">GRIFFITH            </t>
  </si>
  <si>
    <t>06/05/2019 18:20:26 NGF CPT POD confirmed on NTS</t>
  </si>
  <si>
    <t xml:space="preserve">CIM AUTOMATION      </t>
  </si>
  <si>
    <t xml:space="preserve">kathleen            </t>
  </si>
  <si>
    <t>06/05/2019 16:51:49 cvd CPT POD confirmed on NTS</t>
  </si>
  <si>
    <t xml:space="preserve">THE SIMBA GROUP LTD </t>
  </si>
  <si>
    <t xml:space="preserve">dawn                </t>
  </si>
  <si>
    <t>06/05/2019 15:54:53 NGF CPT POD confirmed on NTS</t>
  </si>
  <si>
    <t xml:space="preserve">NIORO PLASTICS      </t>
  </si>
  <si>
    <t xml:space="preserve">carmen              </t>
  </si>
  <si>
    <t>06/05/2019 17:50:03 cvd CPT POD confirmed on NTS</t>
  </si>
  <si>
    <t xml:space="preserve">f roux              </t>
  </si>
  <si>
    <t>06/05/2019 18:33:08 UAT PLZ POD confirmed on NTS</t>
  </si>
  <si>
    <t>06/05/2019 18:08:44 NLG PLZ POD confirmed on NTS</t>
  </si>
  <si>
    <t xml:space="preserve">HANSENS ENGENNERING </t>
  </si>
  <si>
    <t xml:space="preserve">sanele              </t>
  </si>
  <si>
    <t>06/05/2019 18:53:02 UAT PLZ POD confirmed on NTS</t>
  </si>
  <si>
    <t>06/05/2019 13:22:48 avw ELS POD confirmed on NTS</t>
  </si>
  <si>
    <t>12/05/2019 04:00:03 TTS HUB Parcel lost</t>
  </si>
  <si>
    <t>06/05/2019 18:32:26 UAT PLZ POD confirmed on NTS</t>
  </si>
  <si>
    <t>HACKMACK ENTERPRISES</t>
  </si>
  <si>
    <t xml:space="preserve">Jeff                </t>
  </si>
  <si>
    <t>06/05/2019 13:22:40 avw ELS POD confirmed on NTS</t>
  </si>
  <si>
    <t xml:space="preserve">moloto              </t>
  </si>
  <si>
    <t>06/05/2019 16:09:58 blm PRY POD confirmed on NTS</t>
  </si>
  <si>
    <t>MOSSEL BAY</t>
  </si>
  <si>
    <t>CSM BEARING   PNUEMA</t>
  </si>
  <si>
    <t xml:space="preserve">Kallie              </t>
  </si>
  <si>
    <t>06/05/2019 23:57:53 seb GRJ POD confirmed on NTS</t>
  </si>
  <si>
    <t>06/05/2019 13:22:35 avw ELS POD confirmed on NTS</t>
  </si>
  <si>
    <t>PATERSON HUGHES ENGI</t>
  </si>
  <si>
    <t xml:space="preserve">reano               </t>
  </si>
  <si>
    <t>S4 INTEGRATION (PTY)</t>
  </si>
  <si>
    <t xml:space="preserve">dwain               </t>
  </si>
  <si>
    <t>06/05/2019 18:23:03 UAT PLZ POD confirmed on NTS</t>
  </si>
  <si>
    <t xml:space="preserve">dylan               </t>
  </si>
  <si>
    <t>06/05/2019 18:52:51 UAT PLZ POD confirmed on NTS</t>
  </si>
  <si>
    <t xml:space="preserve">SANMIK AGENCIES CC  </t>
  </si>
  <si>
    <t xml:space="preserve">CLIVE               </t>
  </si>
  <si>
    <t>07/05/2019 00:02:56 seb GRJ POD confirmed on NTS</t>
  </si>
  <si>
    <t>FORD MOTOR CO. SA MA</t>
  </si>
  <si>
    <t xml:space="preserve">velile              </t>
  </si>
  <si>
    <t>06/05/2019 18:29:17 UAT PLZ POD confirmed on NTS</t>
  </si>
  <si>
    <t>06/05/2019 16:59:06 NGF CPT POD confirmed on NTS</t>
  </si>
  <si>
    <t xml:space="preserve">EXCEL TOOLING       </t>
  </si>
  <si>
    <t xml:space="preserve">gwen                </t>
  </si>
  <si>
    <t>06/05/2019 18:05:11 NLG PLZ POD confirmed on NTS</t>
  </si>
  <si>
    <t xml:space="preserve">nathan              </t>
  </si>
  <si>
    <t>06/05/2019 18:52:25 UAT PLZ POD confirmed on NTS</t>
  </si>
  <si>
    <t>06/05/2019 18:10:04 NLG PLZ POD confirmed on NTS</t>
  </si>
  <si>
    <t>06/05/2019 18:30:06 UAT PLZ POD confirmed on NTS</t>
  </si>
  <si>
    <t>06/05/2019 15:40:42 moo PRY POD confirmed on NTS</t>
  </si>
  <si>
    <t xml:space="preserve">MECHANICAL CONCEPTS </t>
  </si>
  <si>
    <t xml:space="preserve">melanie             </t>
  </si>
  <si>
    <t>06/05/2019 16:58:32 cvd CPT POD confirmed on NTS</t>
  </si>
  <si>
    <t>06/05/2019 16:58:13 cvd CPT POD confirmed on NTS</t>
  </si>
  <si>
    <t>06/05/2019 16:26:01 NGF CPT POD confirmed on NTS</t>
  </si>
  <si>
    <t>06/05/2019 17:31:26 NGF CPT POD confirmed on NTS</t>
  </si>
  <si>
    <t>06/05/2019 16:57:12 cvd CPT POD confirmed on NTS</t>
  </si>
  <si>
    <t xml:space="preserve">porinsa             </t>
  </si>
  <si>
    <t>06/05/2019 17:50:55 cvd CPT POD confirmed on NTS</t>
  </si>
  <si>
    <t>WELLINGTON</t>
  </si>
  <si>
    <t>JLINC T A TAMASA TRA</t>
  </si>
  <si>
    <t xml:space="preserve">A LUTZELER          </t>
  </si>
  <si>
    <t>06/05/2019 16:38:25 NGF CPT POD confirmed on NTS</t>
  </si>
  <si>
    <t>H.G MOLENAAR (PTY) L</t>
  </si>
  <si>
    <t xml:space="preserve">Lincoln             </t>
  </si>
  <si>
    <t>06/05/2019 16:37:41 NGF CPT POD confirmed on NTS</t>
  </si>
  <si>
    <t>06/05/2019 18:09:50 NLG PLZ POD confirmed on NTS</t>
  </si>
  <si>
    <t>06/05/2019 16:59:26 nks RBG POD confirmed on NTS</t>
  </si>
  <si>
    <t>06/05/2019 15:40:57 moo PRY POD confirmed on NTS</t>
  </si>
  <si>
    <t xml:space="preserve">COCA COLA BEVERAGES </t>
  </si>
  <si>
    <t xml:space="preserve">THULO               </t>
  </si>
  <si>
    <t>06/05/2019 15:40:27 moo PRY POD confirmed on NTS</t>
  </si>
  <si>
    <t>06/05/2019 18:09:15 NLG PLZ POD confirmed on NTS</t>
  </si>
  <si>
    <t>06/05/2019 16:37:56 NGF CPT POD confirmed on NTS</t>
  </si>
  <si>
    <t>06/05/2019 15:41:02 moo PRY POD confirmed on NTS</t>
  </si>
  <si>
    <t xml:space="preserve">Marina              </t>
  </si>
  <si>
    <t>06/05/2019 19:10:09 MOO PRY POD confirmed on NTS</t>
  </si>
  <si>
    <t>06/05/2019 18:31:32 UAT PLZ POD confirmed on NTS</t>
  </si>
  <si>
    <t xml:space="preserve">alfred              </t>
  </si>
  <si>
    <t>06/05/2019 15:40:37 moo PRY POD confirmed on NTS</t>
  </si>
  <si>
    <t>06/05/2019 16:54:37 cvd CPT POD confirmed on NTS</t>
  </si>
  <si>
    <t>CBI ELECTRIC TELECOM</t>
  </si>
  <si>
    <t xml:space="preserve">marcus              </t>
  </si>
  <si>
    <t>06/05/2019 16:59:35 nks RBG POD confirmed on NTS</t>
  </si>
  <si>
    <t>FORD OF SOUTHERN AFR</t>
  </si>
  <si>
    <t>06/05/2019 18:29:25 UAT PLZ POD confirmed on NTS</t>
  </si>
  <si>
    <t>06/05/2019 16:52:45 cvd CPT POD confirmed on NTS</t>
  </si>
  <si>
    <t>06/05/2019 15:40:53 moo PRY POD confirmed on NTS</t>
  </si>
  <si>
    <t xml:space="preserve">FRANCINA            </t>
  </si>
  <si>
    <t>06/05/2019 15:40:21 moo PRY POD confirmed on NTS</t>
  </si>
  <si>
    <t>HOWICK</t>
  </si>
  <si>
    <t xml:space="preserve">FAIRFIELD DAIRY PTY </t>
  </si>
  <si>
    <t xml:space="preserve">nomthando           </t>
  </si>
  <si>
    <t>06/05/2019 17:49:08 NIS PZB POD confirmed on NTS</t>
  </si>
  <si>
    <t>06/05/2019 15:43:26 cvd CPT POD confirmed on NTS</t>
  </si>
  <si>
    <t xml:space="preserve">DES GROUP (PTY)LTD  </t>
  </si>
  <si>
    <t xml:space="preserve">nicky               </t>
  </si>
  <si>
    <t>06/05/2019 18:21:01 UAT PLZ POD confirmed on NTS</t>
  </si>
  <si>
    <t xml:space="preserve">HULAMIN OPERATIONTS </t>
  </si>
  <si>
    <t xml:space="preserve">Chris               </t>
  </si>
  <si>
    <t>06/05/2019 14:53:23 NIS PZB POD confirmed on NTS</t>
  </si>
  <si>
    <t>06/05/2019 12:13:56 ssh DUR POD confirmed on NTS</t>
  </si>
  <si>
    <t>07/05/2019 00:02:47 seb GRJ POD confirmed on NTS</t>
  </si>
  <si>
    <t xml:space="preserve">nomtando            </t>
  </si>
  <si>
    <t>06/05/2019 17:49:59 NIS PZB POD confirmed on NTS</t>
  </si>
  <si>
    <t>06/05/2019 16:12:59 NIS PZB POD confirmed on NTS</t>
  </si>
  <si>
    <t>STANGER</t>
  </si>
  <si>
    <t xml:space="preserve">d pillay            </t>
  </si>
  <si>
    <t>06/05/2019 18:16:27 ssh DUR POD confirmed on NTS</t>
  </si>
  <si>
    <t xml:space="preserve">VENK PAC            </t>
  </si>
  <si>
    <t xml:space="preserve">sameer              </t>
  </si>
  <si>
    <t>06/05/2019 18:33:01 ssh DUR POD confirmed on NTS</t>
  </si>
  <si>
    <t xml:space="preserve">IRVIN   JONSON LTD  </t>
  </si>
  <si>
    <t xml:space="preserve">ashley              </t>
  </si>
  <si>
    <t>06/05/2019 15:43:56 cvd CPT POD confirmed on NTS</t>
  </si>
  <si>
    <t>06/05/2019 15:43:12 cvd CPT POD confirmed on NTS</t>
  </si>
  <si>
    <t>FILTEC AUTOMATION PT</t>
  </si>
  <si>
    <t xml:space="preserve">vinessan            </t>
  </si>
  <si>
    <t>06/05/2019 12:33:00 ssh DUR POD confirmed on NTS</t>
  </si>
  <si>
    <t>06/05/2019 10:53:22 ssh DUR POD confirmed on NTS</t>
  </si>
  <si>
    <t xml:space="preserve">marinda             </t>
  </si>
  <si>
    <t>06/05/2019 18:51:59 UAT PLZ POD confirmed on NTS</t>
  </si>
  <si>
    <t>CIRCUIT BREAKER INDU</t>
  </si>
  <si>
    <t xml:space="preserve">respect             </t>
  </si>
  <si>
    <t>06/05/2019 15:39:01 moo PRY POD confirmed on NTS</t>
  </si>
  <si>
    <t xml:space="preserve">SABELO              </t>
  </si>
  <si>
    <t>06/05/2019 19:04:29 NLG PLZ POD confirmed on NTS</t>
  </si>
  <si>
    <t xml:space="preserve">ARCH WATER PRODUCTS </t>
  </si>
  <si>
    <t xml:space="preserve">sizwe               </t>
  </si>
  <si>
    <t>06/05/2019 18:10:42 TES JNX Delivered to client</t>
  </si>
  <si>
    <t xml:space="preserve">BME PACKAGING CC    </t>
  </si>
  <si>
    <t xml:space="preserve">DIMA                </t>
  </si>
  <si>
    <t xml:space="preserve">PREMIER BAKERY      </t>
  </si>
  <si>
    <t xml:space="preserve">kurn                </t>
  </si>
  <si>
    <t>06/05/2019 12:45:23 ssh DUR POD confirmed on NTS</t>
  </si>
  <si>
    <t xml:space="preserve">nomvuzo             </t>
  </si>
  <si>
    <t>06/05/2019 18:30:36 UAT PLZ POD confirmed on NTS</t>
  </si>
  <si>
    <t xml:space="preserve">SASOL CHEMICALS SA  </t>
  </si>
  <si>
    <t>06/05/2019 18:52:05 UAT PLZ POD confirmed on NTS</t>
  </si>
  <si>
    <t>KLD</t>
  </si>
  <si>
    <t>POTCHEFSTROOM</t>
  </si>
  <si>
    <t xml:space="preserve">VESCOTECH           </t>
  </si>
  <si>
    <t xml:space="preserve">Tshepo              </t>
  </si>
  <si>
    <t>06/05/2019 19:02:57 asm KLD POD confirmed on NTS</t>
  </si>
  <si>
    <t>06/05/2019 17:31:36 NGF CPT POD confirmed on NTS</t>
  </si>
  <si>
    <t>06/05/2019 15:52:04 NGF CPT POD confirmed on NTS</t>
  </si>
  <si>
    <t>06/05/2019 18:52:17 UAT PLZ POD confirmed on NTS</t>
  </si>
  <si>
    <t xml:space="preserve">CONSUPAQ (PTY) LTD  </t>
  </si>
  <si>
    <t xml:space="preserve">nonto               </t>
  </si>
  <si>
    <t>03/05/2019 17:33:48 tvn JNX Dest label printed</t>
  </si>
  <si>
    <t>MANDINI</t>
  </si>
  <si>
    <t xml:space="preserve">WHIRLPOOL S.A       </t>
  </si>
  <si>
    <t xml:space="preserve">eric                </t>
  </si>
  <si>
    <t>06/05/2019 18:16:49 ssh DUR POD confirmed on NTS</t>
  </si>
  <si>
    <t xml:space="preserve">walker              </t>
  </si>
  <si>
    <t xml:space="preserve">kishen              </t>
  </si>
  <si>
    <t>06/05/2019 13:42:40 ssh DUR POD confirmed on NTS</t>
  </si>
  <si>
    <t>NATIONAL CERAMIC IND</t>
  </si>
  <si>
    <t>NATIONAL BRANDS BUSC</t>
  </si>
  <si>
    <t xml:space="preserve">Sifiso N            </t>
  </si>
  <si>
    <t>06/05/2019 11:57:01 ssh DUR POD confirmed on NTS</t>
  </si>
  <si>
    <t>06/05/2019 18:11:13 NLG PLZ POD confirmed on NTS</t>
  </si>
  <si>
    <t xml:space="preserve">NEVEN               </t>
  </si>
  <si>
    <t>06/05/2019 13:38:43 ssh DUR POD confirmed on NTS</t>
  </si>
  <si>
    <t>ELEMENT SIX PRODUCTI</t>
  </si>
  <si>
    <t xml:space="preserve">SIGN                </t>
  </si>
  <si>
    <t>SUNNY PACKS MANUFACT</t>
  </si>
  <si>
    <t xml:space="preserve">christa             </t>
  </si>
  <si>
    <t>06/05/2019 18:10:10 NLG PLZ POD confirmed on NTS</t>
  </si>
  <si>
    <t>BAGTECH INTERNATIONA</t>
  </si>
  <si>
    <t xml:space="preserve">Neil                </t>
  </si>
  <si>
    <t>06/05/2019 13:42:32 ssh DUR POD confirmed on NTS</t>
  </si>
  <si>
    <t xml:space="preserve">Kresh               </t>
  </si>
  <si>
    <t>06/05/2019 19:02:47 ssh DUR POD confirmed on NTS</t>
  </si>
  <si>
    <t xml:space="preserve">vishan              </t>
  </si>
  <si>
    <t>06/05/2019 12:35:00 ssh DUR POD confirmed on NTS</t>
  </si>
  <si>
    <t>ADP MARINE   MODULAR</t>
  </si>
  <si>
    <t xml:space="preserve">F MARAYELI          </t>
  </si>
  <si>
    <t>06/05/2019 19:17:31 NGF CPT POD confirmed on NTS</t>
  </si>
  <si>
    <t>MAIN STREET 1310 PTY</t>
  </si>
  <si>
    <t xml:space="preserve">bulelwa             </t>
  </si>
  <si>
    <t>06/05/2019 15:52:14 NGF CPT POD confirmed on NTS</t>
  </si>
  <si>
    <t>06/05/2019 17:29:42 cvd CPT POD confirmed on NTS</t>
  </si>
  <si>
    <t xml:space="preserve">lorinda             </t>
  </si>
  <si>
    <t>06/05/2019 18:31:26 UAT PLZ POD confirmed on NTS</t>
  </si>
  <si>
    <t>CDP MANUFACTURING CC</t>
  </si>
  <si>
    <t xml:space="preserve">jean                </t>
  </si>
  <si>
    <t>BALFOUR (TVL)</t>
  </si>
  <si>
    <t>KARAN BEEF (PTY) LTD</t>
  </si>
  <si>
    <t xml:space="preserve">THEO                </t>
  </si>
  <si>
    <t>ROBOTIC HANDLING SYS</t>
  </si>
  <si>
    <t xml:space="preserve">Debbie              </t>
  </si>
  <si>
    <t>06/05/2019 16:58:50 NGF CPT POD confirmed on NTS</t>
  </si>
  <si>
    <t>06/05/2019 16:57:36 cvd CPT POD confirmed on NTS</t>
  </si>
  <si>
    <t>UNIVERSITY OF STELLE</t>
  </si>
  <si>
    <t xml:space="preserve">MAURISHA            </t>
  </si>
  <si>
    <t>06/05/2019 16:21:52 NGF CPT POD confirmed on NTS</t>
  </si>
  <si>
    <t>FAURECIA EMISSIONS C</t>
  </si>
  <si>
    <t xml:space="preserve">SIPHELELE           </t>
  </si>
  <si>
    <t>06/05/2019 19:31:38 NGF CPT POD confirmed on NTS</t>
  </si>
  <si>
    <t>06/05/2019 18:52:44 UAT PLZ POD confirmed on NTS</t>
  </si>
  <si>
    <t xml:space="preserve">BENTELER AUTOMOTIVE </t>
  </si>
  <si>
    <t xml:space="preserve">bekker              </t>
  </si>
  <si>
    <t>06/05/2019 19:04:35 NLG PLZ POD confirmed on NTS</t>
  </si>
  <si>
    <t xml:space="preserve">JOHN GRAY   SON     </t>
  </si>
  <si>
    <t xml:space="preserve">liezl               </t>
  </si>
  <si>
    <t>06/05/2019 18:53:15 UAT PLZ POD confirmed on NTS</t>
  </si>
  <si>
    <t>GONUBIE</t>
  </si>
  <si>
    <t xml:space="preserve">TITUS CONSULTING CC </t>
  </si>
  <si>
    <t xml:space="preserve">VUYO                </t>
  </si>
  <si>
    <t>06/05/2019 16:24:57 AVW ELS POD confirmed on NTS</t>
  </si>
  <si>
    <t>06/05/2019 18:05:15 NLG PLZ POD confirmed on NTS</t>
  </si>
  <si>
    <t>ACTISOL CC T A EX-ES</t>
  </si>
  <si>
    <t xml:space="preserve">margo               </t>
  </si>
  <si>
    <t>06/05/2019 18:53:34 UAT PLZ POD confirmed on NTS</t>
  </si>
  <si>
    <t xml:space="preserve">KELLOGGS CO OF SA   </t>
  </si>
  <si>
    <t>HALEWOOD INTERNATION</t>
  </si>
  <si>
    <t xml:space="preserve">RITA                </t>
  </si>
  <si>
    <t xml:space="preserve">SUNBAKE BOERSTRA    </t>
  </si>
  <si>
    <t xml:space="preserve">Andries             </t>
  </si>
  <si>
    <t>06/05/2019 17:02:29 moo PRY POD confirmed on NTS</t>
  </si>
  <si>
    <t>Returned to sender o</t>
  </si>
  <si>
    <t>06/05/2019 13:42:24 ssh DUR POD confirmed on NTS</t>
  </si>
  <si>
    <t>SWELLENDAM</t>
  </si>
  <si>
    <t>AUTOMATION WORKS CAP</t>
  </si>
  <si>
    <t xml:space="preserve">AMANDA              </t>
  </si>
  <si>
    <t>13/05/2019 11:00:37 NGF CPT POD confirmed on NTS</t>
  </si>
  <si>
    <t>07/05/2019 00:03:05 seb GRJ POD confirmed on NTS</t>
  </si>
  <si>
    <t>TONGAAT HULETTS GROU</t>
  </si>
  <si>
    <t xml:space="preserve">MSIZI               </t>
  </si>
  <si>
    <t>06/05/2019 12:26:30 ssh DUR POD confirmed on NTS</t>
  </si>
  <si>
    <t>BEARING   ACCESSORIE</t>
  </si>
  <si>
    <t xml:space="preserve">Jayson              </t>
  </si>
  <si>
    <t>06/05/2019 14:04:21 ssh DUR POD confirmed on NTS</t>
  </si>
  <si>
    <t xml:space="preserve">Mary Ann            </t>
  </si>
  <si>
    <t>06/05/2019 14:04:35 ssh DUR POD confirmed on NTS</t>
  </si>
  <si>
    <t>06/05/2019 14:04:28 ssh DUR POD confirmed on NTS</t>
  </si>
  <si>
    <t>06/05/2019 16:53:36 cvd CPT POD confirmed on NTS</t>
  </si>
  <si>
    <t>TRUDA SNACKS CAPE CC</t>
  </si>
  <si>
    <t>06/05/2019 18:20:08 NGF CPT POD confirmed on NTS</t>
  </si>
  <si>
    <t>06/05/2019 11:03:15 ssh DUR POD confirmed on NTS</t>
  </si>
  <si>
    <t xml:space="preserve">niren               </t>
  </si>
  <si>
    <t>06/05/2019 15:12:35 NIS PZB POD confirmed on NTS</t>
  </si>
  <si>
    <t>06/05/2019 12:13:48 ssh DUR POD confirmed on NTS</t>
  </si>
  <si>
    <t>06/05/2019 17:48:04 phr NEW POD confirmed on NTS</t>
  </si>
  <si>
    <t xml:space="preserve">lawrence            </t>
  </si>
  <si>
    <t>06/05/2019 12:13:36 ssh DUR POD confirmed on NTS</t>
  </si>
  <si>
    <t>06/05/2019 12:14:02 ssh DUR POD confirmed on NTS</t>
  </si>
  <si>
    <t xml:space="preserve">sipho               </t>
  </si>
  <si>
    <t>06/05/2019 12:35:07 ssh DUR POD confirmed on NTS</t>
  </si>
  <si>
    <t>06/05/2019 18:32:54 ssh DUR POD confirmed on NTS</t>
  </si>
  <si>
    <t>06/05/2019 16:21:25 NGF CPT POD confirmed on NTS</t>
  </si>
  <si>
    <t>06/05/2019 17:35:49 NGF CPT POD confirmed on NTS</t>
  </si>
  <si>
    <t xml:space="preserve">HENNTECH SERVICES   </t>
  </si>
  <si>
    <t xml:space="preserve">t henry             </t>
  </si>
  <si>
    <t>06/05/2019 06:34:10 jas CPT Scanned out of cage/bay</t>
  </si>
  <si>
    <t xml:space="preserve">SABRIX PTY LTD      </t>
  </si>
  <si>
    <t xml:space="preserve">Pieter              </t>
  </si>
  <si>
    <t>06/05/2019 17:01:37 moo PRY POD confirmed on NTS</t>
  </si>
  <si>
    <t>06/05/2019 15:41:07 moo PRY POD confirmed on NTS</t>
  </si>
  <si>
    <t xml:space="preserve">TRUDA SNACKS        </t>
  </si>
  <si>
    <t xml:space="preserve">STEPHEN             </t>
  </si>
  <si>
    <t>06/05/2019 16:13:34 NIS PZB POD confirmed on NTS</t>
  </si>
  <si>
    <t xml:space="preserve">PNEUMATIC AID       </t>
  </si>
  <si>
    <t xml:space="preserve">Audrey              </t>
  </si>
  <si>
    <t>06/05/2019 12:54:07 ssh DUR POD confirmed on NTS</t>
  </si>
  <si>
    <t>06/05/2019 17:47:48 phr NEW POD confirmed on NTS</t>
  </si>
  <si>
    <t>03/05/2019 17:26:11 tvn JNX Dest label printed</t>
  </si>
  <si>
    <t xml:space="preserve">japie               </t>
  </si>
  <si>
    <t>06/05/2019 16:47:30 blm PRY POD confirmed on NTS</t>
  </si>
  <si>
    <t xml:space="preserve">VENTURE DIVERSIFIED </t>
  </si>
  <si>
    <t xml:space="preserve">vincent             </t>
  </si>
  <si>
    <t>06/05/2019 16:54:02 moo PRY POD confirmed on NTS</t>
  </si>
  <si>
    <t xml:space="preserve">brenden             </t>
  </si>
  <si>
    <t xml:space="preserve">PAARL PNEUMATICS CC </t>
  </si>
  <si>
    <t xml:space="preserve">randall             </t>
  </si>
  <si>
    <t>06/05/2019 16:10:17 NGF CPT POD confirmed on NTS</t>
  </si>
  <si>
    <t xml:space="preserve">Sa Bullet           </t>
  </si>
  <si>
    <t xml:space="preserve">CATHRINE            </t>
  </si>
  <si>
    <t xml:space="preserve">TI GROUP AUTOMOTIVE </t>
  </si>
  <si>
    <t xml:space="preserve">joyle               </t>
  </si>
  <si>
    <t>06/05/2019 16:55:15 moo PRY POD confirmed on NTS</t>
  </si>
  <si>
    <t>DALEIN AGRI PLAN PTY</t>
  </si>
  <si>
    <t xml:space="preserve">davids              </t>
  </si>
  <si>
    <t>07/05/2019 17:13:48 blm PRY POD confirmed on NTS</t>
  </si>
  <si>
    <t xml:space="preserve">UV + IR ENGINEERING </t>
  </si>
  <si>
    <t xml:space="preserve">leanda              </t>
  </si>
  <si>
    <t>FERRERO SOUTH AFRICA</t>
  </si>
  <si>
    <t xml:space="preserve">Tendai              </t>
  </si>
  <si>
    <t xml:space="preserve">CSM ENGINEERING CC  </t>
  </si>
  <si>
    <t xml:space="preserve">marco               </t>
  </si>
  <si>
    <t>06/05/2019 15:41:45 moo PRY POD confirmed on NTS</t>
  </si>
  <si>
    <t>03/05/2019 17:25:16 tvn JNX Dest label printed</t>
  </si>
  <si>
    <t xml:space="preserve">PRAGA TECHNICAL PTY </t>
  </si>
  <si>
    <t xml:space="preserve">andle               </t>
  </si>
  <si>
    <t>06/05/2019 16:52:14 moo PRY POD confirmed on NTS</t>
  </si>
  <si>
    <t>03/05/2019 17:37:07 tvn JNX Dest label printed</t>
  </si>
  <si>
    <t>06/05/2019 16:48:11 blm PRY POD confirmed on NTS</t>
  </si>
  <si>
    <t>06/05/2019 09:30:14 SYSTEM  POD Upload Android</t>
  </si>
  <si>
    <t>06/05/2019 15:40:11 moo PRY POD confirmed on NTS</t>
  </si>
  <si>
    <t>06/05/2019 16:49:00 blm PRY POD confirmed on NTS</t>
  </si>
  <si>
    <t xml:space="preserve">Neels               </t>
  </si>
  <si>
    <t>06/05/2019 19:09:29 MOO PRY POD confirmed on NTS</t>
  </si>
  <si>
    <t xml:space="preserve">richard             </t>
  </si>
  <si>
    <t>06/05/2019 11:03:55 ssh DUR POD confirmed on NTS</t>
  </si>
  <si>
    <t>06/05/2019 11:03:33 ssh DUR POD confirmed on NTS</t>
  </si>
  <si>
    <t>06/05/2019 15:40:16 moo PRY POD confirmed on NTS</t>
  </si>
  <si>
    <t>WEL</t>
  </si>
  <si>
    <t>WELKOM</t>
  </si>
  <si>
    <t xml:space="preserve">TIMRITE (PTY) LTD   </t>
  </si>
  <si>
    <t xml:space="preserve">C Barnard           </t>
  </si>
  <si>
    <t>06/05/2019 13:22:34 chb WEL POD confirmed on NTS</t>
  </si>
  <si>
    <t>COLLECTION</t>
  </si>
  <si>
    <t xml:space="preserve">FESTO               </t>
  </si>
  <si>
    <t xml:space="preserve">FESTO ISANDO        </t>
  </si>
  <si>
    <t>07/05/2019 18:26:00 mmd JNX POD confirmed on NTS</t>
  </si>
  <si>
    <t xml:space="preserve">NA             </t>
  </si>
  <si>
    <t>06/05/2019 18:20:24 mmd JNX POD confirmed on NTS</t>
  </si>
  <si>
    <t>RICHMOND (NATAL)</t>
  </si>
  <si>
    <t xml:space="preserve">NORMANDIEN FARMS    </t>
  </si>
  <si>
    <t xml:space="preserve">H Robb              </t>
  </si>
  <si>
    <t>10/05/2019 16:16:55 nis PZB POD confirmed on NTS</t>
  </si>
  <si>
    <t xml:space="preserve">themba              </t>
  </si>
  <si>
    <t>LASHER TOOLS PTY LTD</t>
  </si>
  <si>
    <t xml:space="preserve">NATHANIEL           </t>
  </si>
  <si>
    <t>07/05/2019 16:57:51 phr NEW POD confirmed on NTS</t>
  </si>
  <si>
    <t>FOXOLUTION SYSTEMS E</t>
  </si>
  <si>
    <t xml:space="preserve">roshni              </t>
  </si>
  <si>
    <t>07/05/2019 17:40:57 cvd CPT POD confirmed on NTS</t>
  </si>
  <si>
    <t>FLS TECHNICAL SERVIC</t>
  </si>
  <si>
    <t xml:space="preserve">R CAMA              </t>
  </si>
  <si>
    <t>09/05/2019 09:28:13 NGF CPT POD confirmed on NTS</t>
  </si>
  <si>
    <t xml:space="preserve">PFG BUILDING GLASS  </t>
  </si>
  <si>
    <t xml:space="preserve">beyyel              </t>
  </si>
  <si>
    <t xml:space="preserve">precious            </t>
  </si>
  <si>
    <t>DUTTON PLASTICS ENGI</t>
  </si>
  <si>
    <t xml:space="preserve">IRENE               </t>
  </si>
  <si>
    <t xml:space="preserve">FRANCINAH           </t>
  </si>
  <si>
    <t>07/05/2019 19:42:08 NLG PLZ POD confirmed on NTS</t>
  </si>
  <si>
    <t>ELUMATEC SOUTH AFRIC</t>
  </si>
  <si>
    <t xml:space="preserve">petru               </t>
  </si>
  <si>
    <t>MED ENGINEERING (PTY</t>
  </si>
  <si>
    <t xml:space="preserve">Retha               </t>
  </si>
  <si>
    <t>07/05/2019 16:53:26 NGF CPT POD confirmed on NTS</t>
  </si>
  <si>
    <t xml:space="preserve">B  M Nxele          </t>
  </si>
  <si>
    <t>07/05/2019 15:23:28 NIS PZB POD confirmed on NTS</t>
  </si>
  <si>
    <t>PROCESS DYNAMICS PTY</t>
  </si>
  <si>
    <t xml:space="preserve">MIKE                </t>
  </si>
  <si>
    <t xml:space="preserve">BREWBEV             </t>
  </si>
  <si>
    <t xml:space="preserve">theo                </t>
  </si>
  <si>
    <t>COLLABORATIVE PACKIN</t>
  </si>
  <si>
    <t xml:space="preserve">RUTH                </t>
  </si>
  <si>
    <t xml:space="preserve">SHAMONICK           </t>
  </si>
  <si>
    <t>07/05/2019 17:04:15 NGF CPT POD confirmed on NTS</t>
  </si>
  <si>
    <t>07/05/2019 17:14:53 NGF CPT POD confirmed on NTS</t>
  </si>
  <si>
    <t>07/05/2019 17:04:04 NGF CPT POD confirmed on NTS</t>
  </si>
  <si>
    <t xml:space="preserve">DAWN                </t>
  </si>
  <si>
    <t>07/05/2019 16:07:11 NGF CPT POD confirmed on NTS</t>
  </si>
  <si>
    <t xml:space="preserve">R CAMP              </t>
  </si>
  <si>
    <t>09/05/2019 09:28:22 NGF CPT POD confirmed on NTS</t>
  </si>
  <si>
    <t>09/05/2019 09:28:31 NGF CPT POD confirmed on NTS</t>
  </si>
  <si>
    <t>07/05/2019 17:14:47 NGF CPT POD confirmed on NTS</t>
  </si>
  <si>
    <t xml:space="preserve">PROLOGIK            </t>
  </si>
  <si>
    <t xml:space="preserve">abel                </t>
  </si>
  <si>
    <t xml:space="preserve">BONGS               </t>
  </si>
  <si>
    <t>CALDEIRA ENGENEERING</t>
  </si>
  <si>
    <t xml:space="preserve">clinton             </t>
  </si>
  <si>
    <t>07/05/2019 13:21:14 SYSTEM  POD Upload Android</t>
  </si>
  <si>
    <t xml:space="preserve">NATIONAL BRAND      </t>
  </si>
  <si>
    <t xml:space="preserve">sifiso              </t>
  </si>
  <si>
    <t>07/05/2019 13:20:46 SYSTEM  POD Upload Android</t>
  </si>
  <si>
    <t>07/05/2019 13:30:45 sim ELS POD confirmed on NTS</t>
  </si>
  <si>
    <t xml:space="preserve">naidoo              </t>
  </si>
  <si>
    <t>07/05/2019 15:01:24 NIS PZB POD confirmed on NTS</t>
  </si>
  <si>
    <t>MS INDUSTRIAL SUPPLI</t>
  </si>
  <si>
    <t xml:space="preserve">kaylene             </t>
  </si>
  <si>
    <t>07/05/2019 11:51:39 ssh DUR POD confirmed on NTS</t>
  </si>
  <si>
    <t>FAURECIA EXHAUST SYS</t>
  </si>
  <si>
    <t xml:space="preserve">NWABISA             </t>
  </si>
  <si>
    <t>07/05/2019 20:19:26 NLG PLZ POD confirmed on NTS</t>
  </si>
  <si>
    <t>07/05/2019 20:12:21 NLG PLZ POD confirmed on NTS</t>
  </si>
  <si>
    <t>07/05/2019 20:12:14 NLG PLZ POD confirmed on NTS</t>
  </si>
  <si>
    <t>07/05/2019 19:41:38 NLG PLZ POD confirmed on NTS</t>
  </si>
  <si>
    <t>07/05/2019 19:41:18 NLG PLZ POD confirmed on NTS</t>
  </si>
  <si>
    <t>THOROUGHTEC SIMULATI</t>
  </si>
  <si>
    <t xml:space="preserve">luke                </t>
  </si>
  <si>
    <t>07/05/2019 13:21:11 SYSTEM  POD Upload Android</t>
  </si>
  <si>
    <t xml:space="preserve">GEA AFRICA          </t>
  </si>
  <si>
    <t xml:space="preserve">brian               </t>
  </si>
  <si>
    <t>07/05/2019 13:45:43 ssh DUR POD confirmed on NTS</t>
  </si>
  <si>
    <t xml:space="preserve">FLUIDRA WATERLINX   </t>
  </si>
  <si>
    <t xml:space="preserve">GLORIA              </t>
  </si>
  <si>
    <t>07/05/2019 20:19:34 NLG PLZ POD confirmed on NTS</t>
  </si>
  <si>
    <t>07/05/2019 19:41:52 NLG PLZ POD confirmed on NTS</t>
  </si>
  <si>
    <t xml:space="preserve">bernice             </t>
  </si>
  <si>
    <t>07/05/2019 19:42:23 NLG PLZ POD confirmed on NTS</t>
  </si>
  <si>
    <t xml:space="preserve">NIC                 </t>
  </si>
  <si>
    <t>PIONEER FOOD PTY LTD</t>
  </si>
  <si>
    <t xml:space="preserve">chanta              </t>
  </si>
  <si>
    <t xml:space="preserve">NATHAN MEYER        </t>
  </si>
  <si>
    <t>09/05/2019 09:24:06 NGF CPT POD confirmed on NTS</t>
  </si>
  <si>
    <t xml:space="preserve">iceron              </t>
  </si>
  <si>
    <t>07/05/2019 16:37:48 NGF CPT POD confirmed on NTS</t>
  </si>
  <si>
    <t>07/05/2019 15:51:54 NGF CPT POD confirmed on NTS</t>
  </si>
  <si>
    <t xml:space="preserve">CORRUGATORS WV      </t>
  </si>
  <si>
    <t xml:space="preserve">m ngaleka           </t>
  </si>
  <si>
    <t>UNILEVER ANDERBOLT H</t>
  </si>
  <si>
    <t xml:space="preserve">thumani             </t>
  </si>
  <si>
    <t>07/05/2019 15:02:05 NIS PZB POD confirmed on NTS</t>
  </si>
  <si>
    <t xml:space="preserve">WYNLAND INGENEIURS  </t>
  </si>
  <si>
    <t xml:space="preserve">MORITA PIETER       </t>
  </si>
  <si>
    <t>07/05/2019 16:47:19 NGF CPT POD confirmed on NTS</t>
  </si>
  <si>
    <t>07/05/2019 17:37:25 cvd CPT POD confirmed on NTS</t>
  </si>
  <si>
    <t xml:space="preserve">ntsako              </t>
  </si>
  <si>
    <t xml:space="preserve">BCG STAINLESS STEEL </t>
  </si>
  <si>
    <t xml:space="preserve">Lihle               </t>
  </si>
  <si>
    <t>07/05/2019 17:22:50 NGF CPT POD confirmed on NTS</t>
  </si>
  <si>
    <t>07/05/2019 17:37:00 cvd CPT POD confirmed on NTS</t>
  </si>
  <si>
    <t>07/05/2019 15:39:00 cvd CPT POD confirmed on NTS</t>
  </si>
  <si>
    <t xml:space="preserve">Werner              </t>
  </si>
  <si>
    <t>07/05/2019 16:53:21 NGF CPT POD confirmed on NTS</t>
  </si>
  <si>
    <t xml:space="preserve">Sarah               </t>
  </si>
  <si>
    <t>07/05/2019 16:53:34 NGF CPT POD confirmed on NTS</t>
  </si>
  <si>
    <t>07/05/2019 16:07:06 NGF CPT POD confirmed on NTS</t>
  </si>
  <si>
    <t xml:space="preserve">pk428827       </t>
  </si>
  <si>
    <t>SDX</t>
  </si>
  <si>
    <t xml:space="preserve">UNITRANS            </t>
  </si>
  <si>
    <t xml:space="preserve">JONAS               </t>
  </si>
  <si>
    <t>07/05/2019 20:37:03 NLG PLZ POD confirmed on NTS</t>
  </si>
  <si>
    <t xml:space="preserve">SDX            </t>
  </si>
  <si>
    <t>AL ZEHRI INVESTMENTS</t>
  </si>
  <si>
    <t xml:space="preserve">Suny                </t>
  </si>
  <si>
    <t>07/05/2019 14:36:56 ssh DUR POD confirmed on NTS</t>
  </si>
  <si>
    <t>07/05/2019 13:45:56 ssh DUR POD confirmed on NTS</t>
  </si>
  <si>
    <t xml:space="preserve">Mandla              </t>
  </si>
  <si>
    <t>07/05/2019 14:36:24 ssh DUR POD confirmed on NTS</t>
  </si>
  <si>
    <t>07/05/2019 17:24:00 NGF CPT POD confirmed on NTS</t>
  </si>
  <si>
    <t>07/05/2019 16:37:51 NGF CPT POD confirmed on NTS</t>
  </si>
  <si>
    <t>07/05/2019 12:56:20 ssh DUR POD confirmed on NTS</t>
  </si>
  <si>
    <t>EMENEM INDUSTRIAL CC</t>
  </si>
  <si>
    <t xml:space="preserve">c jacobsz           </t>
  </si>
  <si>
    <t>07/05/2019 17:36:23 moo PRY POD confirmed on NTS</t>
  </si>
  <si>
    <t>07/05/2019 17:36:31 moo PRY POD confirmed on NTS</t>
  </si>
  <si>
    <t xml:space="preserve">KULKONI-ITS PTY LTD </t>
  </si>
  <si>
    <t xml:space="preserve">sylvia              </t>
  </si>
  <si>
    <t>07/05/2019 16:37:45 NGF CPT POD confirmed on NTS</t>
  </si>
  <si>
    <t xml:space="preserve">stacey              </t>
  </si>
  <si>
    <t>07/05/2019 17:37:44 cvd CPT POD confirmed on NTS</t>
  </si>
  <si>
    <t xml:space="preserve">lindy               </t>
  </si>
  <si>
    <t>07/05/2019 20:11:42 NLG PLZ POD confirmed on NTS</t>
  </si>
  <si>
    <t>HUMANSDORP</t>
  </si>
  <si>
    <t>WOODLANDS RESOURCE R</t>
  </si>
  <si>
    <t xml:space="preserve">WILLIAM             </t>
  </si>
  <si>
    <t>13/05/2019 14:18:37 NLG PLZ POD confirmed on NTS</t>
  </si>
  <si>
    <t xml:space="preserve">Orae                </t>
  </si>
  <si>
    <t>07/05/2019 20:11:29 NLG PLZ POD confirmed on NTS</t>
  </si>
  <si>
    <t>MERCEDES BENZ TRAINI</t>
  </si>
  <si>
    <t xml:space="preserve">nathi               </t>
  </si>
  <si>
    <t>07/05/2019 16:59:37 avw ELS POD confirmed on NTS</t>
  </si>
  <si>
    <t>SOMERSET EAST</t>
  </si>
  <si>
    <t xml:space="preserve">P.J.ENGINEERING     </t>
  </si>
  <si>
    <t xml:space="preserve">AJ WITBOOI          </t>
  </si>
  <si>
    <t>13/05/2019 17:52:22 NLG PLZ POD confirmed on NTS</t>
  </si>
  <si>
    <t>07/05/2019 19:41:23 NLG PLZ POD confirmed on NTS</t>
  </si>
  <si>
    <t xml:space="preserve">CLIFTON             </t>
  </si>
  <si>
    <t>07/05/2019 16:47:32 NGF CPT POD confirmed on NTS</t>
  </si>
  <si>
    <t xml:space="preserve">Justin              </t>
  </si>
  <si>
    <t>07/05/2019 15:37:17 cvd CPT POD confirmed on NTS</t>
  </si>
  <si>
    <t>07/05/2019 20:11:32 NLG PLZ POD confirmed on NTS</t>
  </si>
  <si>
    <t>07/05/2019 20:11:47 NLG PLZ POD confirmed on NTS</t>
  </si>
  <si>
    <t xml:space="preserve">shylou              </t>
  </si>
  <si>
    <t>07/05/2019 20:17:55 NLG PLZ POD confirmed on NTS</t>
  </si>
  <si>
    <t>UMTATA</t>
  </si>
  <si>
    <t>PREMIER FMCG PTY LTD</t>
  </si>
  <si>
    <t xml:space="preserve">tununu              </t>
  </si>
  <si>
    <t>10/05/2019 11:04:47 AVW ELS POD confirmed on NTS</t>
  </si>
  <si>
    <t xml:space="preserve">mcedi               </t>
  </si>
  <si>
    <t xml:space="preserve">JADEC STEEL PROJECT </t>
  </si>
  <si>
    <t xml:space="preserve">frans               </t>
  </si>
  <si>
    <t>07/05/2019 15:01:38 NIS PZB POD confirmed on NTS</t>
  </si>
  <si>
    <t>S.A. LITHO PRINTINGS</t>
  </si>
  <si>
    <t xml:space="preserve">a walters           </t>
  </si>
  <si>
    <t>07/05/2019 16:06:36 NGF CPT POD confirmed on NTS</t>
  </si>
  <si>
    <t xml:space="preserve">Zahid               </t>
  </si>
  <si>
    <t>07/05/2019 17:33:21 NGF CPT POD confirmed on NTS</t>
  </si>
  <si>
    <t>HIGH FORCE HYDRAULIC</t>
  </si>
  <si>
    <t xml:space="preserve">SHANNON             </t>
  </si>
  <si>
    <t>09/05/2019 09:29:11 NGF CPT POD confirmed on NTS</t>
  </si>
  <si>
    <t>07/05/2019 17:23:04 NGF CPT POD confirmed on NTS</t>
  </si>
  <si>
    <t>07/05/2019 17:33:08 cvd CPT POD confirmed on NTS</t>
  </si>
  <si>
    <t xml:space="preserve">Jones               </t>
  </si>
  <si>
    <t xml:space="preserve">BULK TECHNIK CC     </t>
  </si>
  <si>
    <t xml:space="preserve">r albredt           </t>
  </si>
  <si>
    <t xml:space="preserve">NATIONAL BRANDS LTD </t>
  </si>
  <si>
    <t xml:space="preserve">william             </t>
  </si>
  <si>
    <t>MW WHEELS SA (PTY) L</t>
  </si>
  <si>
    <t xml:space="preserve">Crosby              </t>
  </si>
  <si>
    <t>07/05/2019 20:11:05 NLG PLZ POD confirmed on NTS</t>
  </si>
  <si>
    <t>07/05/2019 20:19:47 NLG PLZ POD confirmed on NTS</t>
  </si>
  <si>
    <t xml:space="preserve">Theo                </t>
  </si>
  <si>
    <t>07/05/2019 13:29:47 sim ELS POD confirmed on NTS</t>
  </si>
  <si>
    <t>07/05/2019 13:45:49 ssh DUR POD confirmed on NTS</t>
  </si>
  <si>
    <t>BBF SAFETY GROUP PTY</t>
  </si>
  <si>
    <t xml:space="preserve">r s sasha           </t>
  </si>
  <si>
    <t>07/05/2019 13:22:28 SYSTEM  POD Upload Android</t>
  </si>
  <si>
    <t>09/05/2019 18:40:46 JNK JNX POD confirmed on NTS</t>
  </si>
  <si>
    <t>09/05/2019 18:40:18 JNK JNX POD confirmed on NTS</t>
  </si>
  <si>
    <t>13/05/2019 14:18:26 NLG PLZ POD confirmed on NTS</t>
  </si>
  <si>
    <t>07/05/2019 20:19:41 NLG PLZ POD confirmed on NTS</t>
  </si>
  <si>
    <t>07/05/2019 19:41:56 NLG PLZ POD confirmed on NTS</t>
  </si>
  <si>
    <t>07/05/2019 19:42:01 NLG PLZ POD confirmed on NTS</t>
  </si>
  <si>
    <t>07/05/2019 19:42:16 NLG PLZ POD confirmed on NTS</t>
  </si>
  <si>
    <t>07/05/2019 13:38:25 ssh DUR POD confirmed on NTS</t>
  </si>
  <si>
    <t>07/05/2019 14:36:32 ssh DUR POD confirmed on NTS</t>
  </si>
  <si>
    <t xml:space="preserve">alan                </t>
  </si>
  <si>
    <t>07/05/2019 16:23:45 cvd CPT POD confirmed on NTS</t>
  </si>
  <si>
    <t xml:space="preserve">Warren              </t>
  </si>
  <si>
    <t xml:space="preserve">f thorne            </t>
  </si>
  <si>
    <t>07/05/2019 17:33:52 cvd CPT POD confirmed on NTS</t>
  </si>
  <si>
    <t>07/05/2019 13:38:43 ssh DUR POD confirmed on NTS</t>
  </si>
  <si>
    <t xml:space="preserve">SCOTT BADER         </t>
  </si>
  <si>
    <t xml:space="preserve">Diveshan            </t>
  </si>
  <si>
    <t>07/05/2019 14:55:10 SYSTEM  POD Upload Android</t>
  </si>
  <si>
    <t>07/05/2019 19:40:57 NLG PLZ POD confirmed on NTS</t>
  </si>
  <si>
    <t xml:space="preserve">Zinhle              </t>
  </si>
  <si>
    <t>07/05/2019 13:37:47 ssh DUR POD confirmed on NTS</t>
  </si>
  <si>
    <t>07/05/2019 13:45:36 ssh DUR POD confirmed on NTS</t>
  </si>
  <si>
    <t xml:space="preserve">saban               </t>
  </si>
  <si>
    <t>07/05/2019 15:37:51 cvd CPT POD confirmed on NTS</t>
  </si>
  <si>
    <t xml:space="preserve">collen              </t>
  </si>
  <si>
    <t xml:space="preserve">RAPPA RESOURCES     </t>
  </si>
  <si>
    <t xml:space="preserve">Collen              </t>
  </si>
  <si>
    <t>07/05/2019 16:53:14 NGF CPT POD confirmed on NTS</t>
  </si>
  <si>
    <t xml:space="preserve">ben                 </t>
  </si>
  <si>
    <t>07/05/2019 16:21:55 moo PRY POD confirmed on NTS</t>
  </si>
  <si>
    <t>07/05/2019 19:40:43 NLG PLZ POD confirmed on NTS</t>
  </si>
  <si>
    <t xml:space="preserve">LIQUI BOX           </t>
  </si>
  <si>
    <t xml:space="preserve">Gideon              </t>
  </si>
  <si>
    <t>07/05/2019 15:51:58 NGF CPT POD confirmed on NTS</t>
  </si>
  <si>
    <t>07/05/2019 14:36:42 ssh DUR POD confirmed on NTS</t>
  </si>
  <si>
    <t xml:space="preserve">PAMELA              </t>
  </si>
  <si>
    <t>07/05/2019 19:51:25 SSH DUR POD confirmed on NTS</t>
  </si>
  <si>
    <t>07/05/2019 13:39:06 ssh DUR POD confirmed on NTS</t>
  </si>
  <si>
    <t xml:space="preserve">Yvonne              </t>
  </si>
  <si>
    <t>07/05/2019 16:28:25 moo PRY POD confirmed on NTS</t>
  </si>
  <si>
    <t xml:space="preserve">BMG ROSSLYN 0182    </t>
  </si>
  <si>
    <t>07/05/2019 17:36:51 moo PRY POD confirmed on NTS</t>
  </si>
  <si>
    <t>07/05/2019 20:12:10 NLG PLZ POD confirmed on NTS</t>
  </si>
  <si>
    <t xml:space="preserve">ENGEN PERTROLEM LTD </t>
  </si>
  <si>
    <t xml:space="preserve">Trevor              </t>
  </si>
  <si>
    <t>07/05/2019 14:29:49 ssh DUR POD confirmed on NTS</t>
  </si>
  <si>
    <t xml:space="preserve">c lundan            </t>
  </si>
  <si>
    <t>07/05/2019 13:20:55 SYSTEM  POD Upload Android</t>
  </si>
  <si>
    <t xml:space="preserve">S.A. MINT           </t>
  </si>
  <si>
    <t xml:space="preserve">Philip              </t>
  </si>
  <si>
    <t>09/05/2019 17:24:31 moo PRY POD confirmed on NTS</t>
  </si>
  <si>
    <t>07/05/2019 19:41:12 NLG PLZ POD confirmed on NTS</t>
  </si>
  <si>
    <t xml:space="preserve">May                 </t>
  </si>
  <si>
    <t>07/05/2019 13:38:07 ssh DUR POD confirmed on NTS</t>
  </si>
  <si>
    <t xml:space="preserve">DIMAKATSO           </t>
  </si>
  <si>
    <t>07/05/2019 17:52:30 TES JNX POD confirmed on NTS</t>
  </si>
  <si>
    <t>07/05/2019 20:12:17 NLG PLZ POD confirmed on NTS</t>
  </si>
  <si>
    <t xml:space="preserve">m fourie            </t>
  </si>
  <si>
    <t>07/05/2019 16:16:47 nks RBG POD confirmed on NTS</t>
  </si>
  <si>
    <t>07/05/2019 15:37:35 cvd CPT POD confirmed on NTS</t>
  </si>
  <si>
    <t>07/05/2019 19:41:08 NLG PLZ POD confirmed on NTS</t>
  </si>
  <si>
    <t xml:space="preserve">desmond             </t>
  </si>
  <si>
    <t>07/05/2019 20:12:06 NLG PLZ POD confirmed on NTS</t>
  </si>
  <si>
    <t xml:space="preserve">R BRUGERS           </t>
  </si>
  <si>
    <t>07/05/2019 18:59:10 NGF CPT POD confirmed on NTS</t>
  </si>
  <si>
    <t>VEES AUTOMATIVE PIPE</t>
  </si>
  <si>
    <t xml:space="preserve">tedence             </t>
  </si>
  <si>
    <t>07/05/2019 16:22:02 moo PRY POD confirmed on NTS</t>
  </si>
  <si>
    <t>GRAHAMSTOWN</t>
  </si>
  <si>
    <t>GRAHAMSTOWN BRICK PT</t>
  </si>
  <si>
    <t>15::0</t>
  </si>
  <si>
    <t xml:space="preserve">SONWABO             </t>
  </si>
  <si>
    <t>09/05/2019 19:21:29 TTS PLZ Delivered to client</t>
  </si>
  <si>
    <t xml:space="preserve">Bongs               </t>
  </si>
  <si>
    <t xml:space="preserve">gift                </t>
  </si>
  <si>
    <t xml:space="preserve">PENBRO MAIN FACTORY </t>
  </si>
  <si>
    <t xml:space="preserve">johanies            </t>
  </si>
  <si>
    <t>09/05/2019 18:37:27 moo PRY POD confirmed on NTS</t>
  </si>
  <si>
    <t>DE BEERS CONSOLIDATE</t>
  </si>
  <si>
    <t xml:space="preserve">PANDROL SA PTY LTD  </t>
  </si>
  <si>
    <t>09/05/2019 16:10:52 moo PRY POD confirmed on NTS</t>
  </si>
  <si>
    <t xml:space="preserve">Marco               </t>
  </si>
  <si>
    <t>09/05/2019 16:01:45 moo PRY POD confirmed on NTS</t>
  </si>
  <si>
    <t>BIG OR SMALL PROJECT</t>
  </si>
  <si>
    <t xml:space="preserve">S van wyk           </t>
  </si>
  <si>
    <t>09/05/2019 15:47:08 moo PRY POD confirmed on NTS</t>
  </si>
  <si>
    <t>09/05/2019 18:33:36 moo PRY POD confirmed on NTS</t>
  </si>
  <si>
    <t xml:space="preserve">VOLKSWAGEN OF SA    </t>
  </si>
  <si>
    <t xml:space="preserve">JUDY                </t>
  </si>
  <si>
    <t>09/05/2019 19:29:33 NLG PLZ POD confirmed on NTS</t>
  </si>
  <si>
    <t>09/05/2019 19:37:49 NLG PLZ POD confirmed on NTS</t>
  </si>
  <si>
    <t xml:space="preserve">zelpa               </t>
  </si>
  <si>
    <t>09/05/2019 18:54:20 UAT PLZ POD confirmed on NTS</t>
  </si>
  <si>
    <t xml:space="preserve">BORBET SA (PTY) LTD </t>
  </si>
  <si>
    <t xml:space="preserve">andre               </t>
  </si>
  <si>
    <t>09/05/2019 18:57:59 UAT PLZ POD confirmed on NTS</t>
  </si>
  <si>
    <t xml:space="preserve">zelpha              </t>
  </si>
  <si>
    <t>09/05/2019 18:54:27 UAT PLZ POD confirmed on NTS</t>
  </si>
  <si>
    <t>09/05/2019 19:39:30 NLG PLZ POD confirmed on NTS</t>
  </si>
  <si>
    <t>09/05/2019 18:44:31 UAT PLZ POD confirmed on NTS</t>
  </si>
  <si>
    <t>09/05/2019 19:39:21 NLG PLZ POD confirmed on NTS</t>
  </si>
  <si>
    <t>09/05/2019 18:33:56 moo PRY POD confirmed on NTS</t>
  </si>
  <si>
    <t xml:space="preserve">msa                 </t>
  </si>
  <si>
    <t>09/05/2019 12:05:30 ssh DUR POD confirmed on NTS</t>
  </si>
  <si>
    <t>09/05/2019 19:39:25 NLG PLZ POD confirmed on NTS</t>
  </si>
  <si>
    <t>09/05/2019 16:11:06 moo PRY POD confirmed on NTS</t>
  </si>
  <si>
    <t xml:space="preserve">krelen              </t>
  </si>
  <si>
    <t>09/05/2019 14:04:22 ssh DUR POD confirmed on NTS</t>
  </si>
  <si>
    <t>AUTOMA MULTI STYRENE</t>
  </si>
  <si>
    <t>16/05/2019 16:13:25 els CPT Return to sender</t>
  </si>
  <si>
    <t xml:space="preserve">NHLAPO              </t>
  </si>
  <si>
    <t>RESCUE TECHNOLOGY CC</t>
  </si>
  <si>
    <t xml:space="preserve">S RABIE             </t>
  </si>
  <si>
    <t xml:space="preserve">EDELE               </t>
  </si>
  <si>
    <t xml:space="preserve">constance           </t>
  </si>
  <si>
    <t xml:space="preserve">BIC SA PTY LTD      </t>
  </si>
  <si>
    <t xml:space="preserve">samu                </t>
  </si>
  <si>
    <t>ALBANY BAKERY RANDFO</t>
  </si>
  <si>
    <t xml:space="preserve">zandile             </t>
  </si>
  <si>
    <t>09/05/2019 16:01:25 moo PRY POD confirmed on NTS</t>
  </si>
  <si>
    <t xml:space="preserve">ENENA               </t>
  </si>
  <si>
    <t>09/05/2019 15:05:17 NIS PZB POD confirmed on NTS</t>
  </si>
  <si>
    <t>09/05/2019 17:48:24 KFH JNX POD confirmed on NTS</t>
  </si>
  <si>
    <t>VANDERBIJLPARK</t>
  </si>
  <si>
    <t>MITTAL STEEL SOUTH A</t>
  </si>
  <si>
    <t xml:space="preserve">KERILENG            </t>
  </si>
  <si>
    <t xml:space="preserve">HARVARD PROJECTS    </t>
  </si>
  <si>
    <t xml:space="preserve">CAVALETTO 98        </t>
  </si>
  <si>
    <t xml:space="preserve">berry               </t>
  </si>
  <si>
    <t>09/05/2019 13:03:00 ssh DUR POD confirmed on NTS</t>
  </si>
  <si>
    <t>CBI ELECTRIC AFRICAN</t>
  </si>
  <si>
    <t xml:space="preserve">nelly               </t>
  </si>
  <si>
    <t xml:space="preserve">wAyne               </t>
  </si>
  <si>
    <t xml:space="preserve">UMOYA AUTOMATION CC </t>
  </si>
  <si>
    <t xml:space="preserve">MINA                </t>
  </si>
  <si>
    <t xml:space="preserve">nelson              </t>
  </si>
  <si>
    <t>09/05/2019 17:27:38 bem JNX POD confirmed on NTS</t>
  </si>
  <si>
    <t>MARLEY SA (PTY)L.T.D</t>
  </si>
  <si>
    <t xml:space="preserve">gabriel             </t>
  </si>
  <si>
    <t>09/05/2019 20:18:32 TES JNX POD confirmed on NTS</t>
  </si>
  <si>
    <t xml:space="preserve">joubert             </t>
  </si>
  <si>
    <t xml:space="preserve">Garth               </t>
  </si>
  <si>
    <t>09/05/2019 15:12:34 cvd CPT POD confirmed on NTS</t>
  </si>
  <si>
    <t>MARTIN   MARTIN (PTY</t>
  </si>
  <si>
    <t xml:space="preserve">PAM                 </t>
  </si>
  <si>
    <t>09/05/2019 19:59:09 NGF CPT POD confirmed on NTS</t>
  </si>
  <si>
    <t>09/05/2019 16:38:56 NGF CPT POD confirmed on NTS</t>
  </si>
  <si>
    <t>09/05/2019 13:34:13 cvd CPT POD confirmed on NTS</t>
  </si>
  <si>
    <t xml:space="preserve">brad                </t>
  </si>
  <si>
    <t>09/05/2019 17:40:26 cvd CPT POD confirmed on NTS</t>
  </si>
  <si>
    <t xml:space="preserve">vish                </t>
  </si>
  <si>
    <t>09/05/2019 14:00:06 ssh DUR POD confirmed on NTS</t>
  </si>
  <si>
    <t>09/05/2019 18:04:16 ADR BEH POD confirmed on NTS</t>
  </si>
  <si>
    <t xml:space="preserve">MAGDA               </t>
  </si>
  <si>
    <t>09/05/2019 17:55:35 amt JNX POD confirmed on NTS</t>
  </si>
  <si>
    <t>09/05/2019 15:10:12 SYSTEM  POD Upload Android</t>
  </si>
  <si>
    <t xml:space="preserve">kimershan           </t>
  </si>
  <si>
    <t>09/05/2019 12:38:04 ssh DUR POD confirmed on NTS</t>
  </si>
  <si>
    <t>FEDERAL MOGUL FRICTI</t>
  </si>
  <si>
    <t xml:space="preserve">mpume               </t>
  </si>
  <si>
    <t>09/05/2019 14:00:33 ssh DUR POD confirmed on NTS</t>
  </si>
  <si>
    <t xml:space="preserve">J WALKER            </t>
  </si>
  <si>
    <t xml:space="preserve">Ramesh              </t>
  </si>
  <si>
    <t>09/05/2019 13:35:14 SYSTEM  POD Upload Android</t>
  </si>
  <si>
    <t>09/05/2019 18:02:15 ADR BEH POD confirmed on NTS</t>
  </si>
  <si>
    <t xml:space="preserve">Kevin               </t>
  </si>
  <si>
    <t xml:space="preserve">Jordan              </t>
  </si>
  <si>
    <t>RCB</t>
  </si>
  <si>
    <t>RICHARDS BAY</t>
  </si>
  <si>
    <t>MACSTEEL FUILD CONTR</t>
  </si>
  <si>
    <t xml:space="preserve">noel                </t>
  </si>
  <si>
    <t>09/05/2019 18:04:54 jap RCB POD confirmed on NTS</t>
  </si>
  <si>
    <t xml:space="preserve">supho               </t>
  </si>
  <si>
    <t>09/05/2019 12:37:00 ssh DUR POD confirmed on NTS</t>
  </si>
  <si>
    <t>09/05/2019 15:12:06 cvd CPT POD confirmed on NTS</t>
  </si>
  <si>
    <t>09/05/2019 15:12:20 cvd CPT POD confirmed on NTS</t>
  </si>
  <si>
    <t xml:space="preserve">MERCEDES BENZ SOUTH </t>
  </si>
  <si>
    <t xml:space="preserve">sandisile           </t>
  </si>
  <si>
    <t>09/05/2019 16:48:41 AVW ELS POD confirmed on NTS</t>
  </si>
  <si>
    <t>09/05/2019 18:44:03 UAT PLZ POD confirmed on NTS</t>
  </si>
  <si>
    <t>ON2</t>
  </si>
  <si>
    <t>BARNES REINFORCING I</t>
  </si>
  <si>
    <t xml:space="preserve">lucas               </t>
  </si>
  <si>
    <t>09/05/2019 12:51:05 SYSTEM  POD Upload Android</t>
  </si>
  <si>
    <t>09/05/2019 12:45:19 ssh DUR POD confirmed on NTS</t>
  </si>
  <si>
    <t>TENNECO RIDE CONTROL</t>
  </si>
  <si>
    <t xml:space="preserve">siya                </t>
  </si>
  <si>
    <t>13/05/2019 18:34:52 UAT PLZ Delivered to client</t>
  </si>
  <si>
    <t xml:space="preserve">Sharne              </t>
  </si>
  <si>
    <t>09/05/2019 13:28:53 sim ELS POD confirmed on NTS</t>
  </si>
  <si>
    <t xml:space="preserve">DERICK              </t>
  </si>
  <si>
    <t>09/05/2019 19:41:22 NGF CPT POD confirmed on NTS</t>
  </si>
  <si>
    <t xml:space="preserve">JUSTIN              </t>
  </si>
  <si>
    <t>09/05/2019 19:21:13 NGF CPT Delivered to client</t>
  </si>
  <si>
    <t>09/05/2019 12:37:35 ssh DUR POD confirmed on NTS</t>
  </si>
  <si>
    <t>09/05/2019 12:37:57 ssh DUR POD confirmed on NTS</t>
  </si>
  <si>
    <t>09/05/2019 12:10:21 ssh DUR POD confirmed on NTS</t>
  </si>
  <si>
    <t>09/05/2019 18:19:49 ssh DUR POD confirmed on NTS</t>
  </si>
  <si>
    <t>AMANZIMTOTI</t>
  </si>
  <si>
    <t xml:space="preserve">DES GROUP (PTY) LTD </t>
  </si>
  <si>
    <t xml:space="preserve">Dan                 </t>
  </si>
  <si>
    <t>09/05/2019 17:35:01 ssh DUR POD confirmed on NTS</t>
  </si>
  <si>
    <t xml:space="preserve">AUTOLIV SA          </t>
  </si>
  <si>
    <t xml:space="preserve">ALICIA              </t>
  </si>
  <si>
    <t xml:space="preserve">DIRECTECH           </t>
  </si>
  <si>
    <t xml:space="preserve">sillas              </t>
  </si>
  <si>
    <t>WILMAR CONTINENTAL E</t>
  </si>
  <si>
    <t xml:space="preserve">M V STADEN          </t>
  </si>
  <si>
    <t xml:space="preserve">SINOVILLE FENCING   </t>
  </si>
  <si>
    <t xml:space="preserve">merisha             </t>
  </si>
  <si>
    <t>09/05/2019 16:10:06 moo PRY POD confirmed on NTS</t>
  </si>
  <si>
    <t xml:space="preserve">Eneth               </t>
  </si>
  <si>
    <t>09/05/2019 14:51:05 SYSTEM  POD Upload Android</t>
  </si>
  <si>
    <t>09/05/2019 13:03:39 ssh DUR POD confirmed on NTS</t>
  </si>
  <si>
    <t>09/05/2019 14:00:22 ssh DUR POD confirmed on NTS</t>
  </si>
  <si>
    <t>10/05/2019 16:16:45 nis PZB POD confirmed on NTS</t>
  </si>
  <si>
    <t>09/05/2019 16:47:03 cvd CPT POD confirmed on NTS</t>
  </si>
  <si>
    <t xml:space="preserve">p hawkings          </t>
  </si>
  <si>
    <t>09/05/2019 19:55:09 cvd CPT POD confirmed on NTS</t>
  </si>
  <si>
    <t xml:space="preserve">b emmanuel          </t>
  </si>
  <si>
    <t xml:space="preserve">a steyn             </t>
  </si>
  <si>
    <t>UTN</t>
  </si>
  <si>
    <t>UPINGTON</t>
  </si>
  <si>
    <t>ORANJERIVIERWYNKELDE</t>
  </si>
  <si>
    <t xml:space="preserve">DANELL              </t>
  </si>
  <si>
    <t>09/05/2019 15:36:23 alr UTN POD confirmed on NTS</t>
  </si>
  <si>
    <t>09/05/2019 12:46:03 ssh DUR POD confirmed on NTS</t>
  </si>
  <si>
    <t xml:space="preserve">BERMAR HYDRAULICS   </t>
  </si>
  <si>
    <t xml:space="preserve">Genevieve           </t>
  </si>
  <si>
    <t>09/05/2019 16:38:43 NGF CPT POD confirmed on NTS</t>
  </si>
  <si>
    <t xml:space="preserve">VINCENT             </t>
  </si>
  <si>
    <t>09/05/2019 16:19:49 NGF CPT POD confirmed on NTS</t>
  </si>
  <si>
    <t>RHEINMETALL LAINGSDA</t>
  </si>
  <si>
    <t xml:space="preserve">SHERNE              </t>
  </si>
  <si>
    <t>09/05/2019 20:01:16 NGF CPT POD confirmed on NTS</t>
  </si>
  <si>
    <t>09/05/2019 15:11:53 cvd CPT POD confirmed on NTS</t>
  </si>
  <si>
    <t xml:space="preserve">A LUTZELLER         </t>
  </si>
  <si>
    <t>09/05/2019 16:39:19 NGF CPT POD confirmed on NTS</t>
  </si>
  <si>
    <t>LABTECH AFRICA PTY L</t>
  </si>
  <si>
    <t xml:space="preserve">naudi               </t>
  </si>
  <si>
    <t xml:space="preserve">TRU GAGE MACHINES   </t>
  </si>
  <si>
    <t xml:space="preserve">WERNER              </t>
  </si>
  <si>
    <t>09/05/2019 16:44:39 cvd CPT POD confirmed on NTS</t>
  </si>
  <si>
    <t>09/05/2019 16:20:22 NGF CPT POD confirmed on NTS</t>
  </si>
  <si>
    <t xml:space="preserve">sadan               </t>
  </si>
  <si>
    <t>09/05/2019 15:14:26 cvd CPT POD confirmed on NTS</t>
  </si>
  <si>
    <t>AFRICAN HERITAGE CON</t>
  </si>
  <si>
    <t xml:space="preserve">DEON                </t>
  </si>
  <si>
    <t>09/05/2019 12:44:41 ssh DUR POD confirmed on NTS</t>
  </si>
  <si>
    <t xml:space="preserve">Tim                 </t>
  </si>
  <si>
    <t>09/05/2019 15:15:16 cvd CPT POD confirmed on NTS</t>
  </si>
  <si>
    <t>09/05/2019 13:34:38 cvd CPT POD confirmed on NTS</t>
  </si>
  <si>
    <t>09/05/2019 13:33:38 cvd CPT POD confirmed on NTS</t>
  </si>
  <si>
    <t>13/05/2019 10:03:42 NGF CPT POD confirmed on NTS</t>
  </si>
  <si>
    <t>VRG</t>
  </si>
  <si>
    <t>09/05/2019 21:00:24 amt JNX POD confirmed on NTS</t>
  </si>
  <si>
    <t>09/05/2019 19:39:35 NLG PLZ POD confirmed on NTS</t>
  </si>
  <si>
    <t>13/05/2019 17:32:36 lin PLZ POD confirmed on NTS</t>
  </si>
  <si>
    <t>09/05/2019 19:39:44 NLG PLZ POD confirmed on NTS</t>
  </si>
  <si>
    <t>SMA ENGINEERING S.A.</t>
  </si>
  <si>
    <t xml:space="preserve">eddie               </t>
  </si>
  <si>
    <t>09/05/2019 13:19:36 sim ELS POD confirmed on NTS</t>
  </si>
  <si>
    <t>09/05/2019 19:39:48 NLG PLZ POD confirmed on NTS</t>
  </si>
  <si>
    <t>09/05/2019 16:39:14 NGF CPT POD confirmed on NTS</t>
  </si>
  <si>
    <t>09/05/2019 19:39:53 NLG PLZ POD confirmed on NTS</t>
  </si>
  <si>
    <t>09/05/2019 18:54:37 UAT PLZ POD confirmed on NTS</t>
  </si>
  <si>
    <t xml:space="preserve">Ayabulela           </t>
  </si>
  <si>
    <t>09/05/2019 13:35:30 sim ELS POD confirmed on NTS</t>
  </si>
  <si>
    <t xml:space="preserve">r wagenaar          </t>
  </si>
  <si>
    <t>09/05/2019 16:59:34 moo PRY POD confirmed on NTS</t>
  </si>
  <si>
    <t>09/05/2019 13:03:50 ssh DUR POD confirmed on NTS</t>
  </si>
  <si>
    <t>PYROTECHNICAL MARKET</t>
  </si>
  <si>
    <t xml:space="preserve">ethan               </t>
  </si>
  <si>
    <t>09/05/2019 18:28:15 cvd CPT POD confirmed on NTS</t>
  </si>
  <si>
    <t xml:space="preserve">B M S C ENGINEERING </t>
  </si>
  <si>
    <t xml:space="preserve">THULANI             </t>
  </si>
  <si>
    <t>09/05/2019 19:03:54 NGF CPT POD confirmed on NTS</t>
  </si>
  <si>
    <t xml:space="preserve">daun                </t>
  </si>
  <si>
    <t>09/05/2019 16:52:23 NGF CPT POD confirmed on NTS</t>
  </si>
  <si>
    <t>ALPHAPAX PACKAGING C</t>
  </si>
  <si>
    <t xml:space="preserve">Bernice             </t>
  </si>
  <si>
    <t xml:space="preserve">MASTERFLEX  WV      </t>
  </si>
  <si>
    <t xml:space="preserve">ALBANY BAKERIES     </t>
  </si>
  <si>
    <t xml:space="preserve">ANNAH               </t>
  </si>
  <si>
    <t xml:space="preserve">patiswa             </t>
  </si>
  <si>
    <t xml:space="preserve">BENTELER SA         </t>
  </si>
  <si>
    <t xml:space="preserve">CONSTANCE           </t>
  </si>
  <si>
    <t xml:space="preserve">tebogo              </t>
  </si>
  <si>
    <t xml:space="preserve">orae                </t>
  </si>
  <si>
    <t>09/05/2019 18:54:05 UAT PLZ POD confirmed on NTS</t>
  </si>
  <si>
    <t>TOPLINE TOOLING (PTY</t>
  </si>
  <si>
    <t xml:space="preserve">Maxwell             </t>
  </si>
  <si>
    <t>09/05/2019 12:05:44 ssh DUR POD confirmed on NTS</t>
  </si>
  <si>
    <t>BETHLEHEM</t>
  </si>
  <si>
    <t xml:space="preserve">BUILD IT BETLHEHEM  </t>
  </si>
  <si>
    <t xml:space="preserve">GLEN                </t>
  </si>
  <si>
    <t>09/05/2019 12:42:13 IRE BEH POD confirmed on NTS</t>
  </si>
  <si>
    <t>09/05/2019 13:04:07 ssh DUR POD confirmed on NTS</t>
  </si>
  <si>
    <t>09/05/2019 12:42:38 IRE BEH POD confirmed on NTS</t>
  </si>
  <si>
    <t>09/05/2019 13:03:29 ssh DUR POD confirmed on NTS</t>
  </si>
  <si>
    <t>RUSTENBURG</t>
  </si>
  <si>
    <t xml:space="preserve">FOODCORP PTY LTD    </t>
  </si>
  <si>
    <t xml:space="preserve">anette              </t>
  </si>
  <si>
    <t>09/05/2019 16:59:41 nks RBG POD confirmed on NTS</t>
  </si>
  <si>
    <t>09/05/2019 13:35:28 SYSTEM  POD Upload Android</t>
  </si>
  <si>
    <t>09/05/2019 13:03:59 ssh DUR POD confirmed on NTS</t>
  </si>
  <si>
    <t>09/05/2019 12:38:19 ssh DUR POD confirmed on NTS</t>
  </si>
  <si>
    <t>09/05/2019 12:10:28 ssh DUR POD confirmed on NTS</t>
  </si>
  <si>
    <t>09/05/2019 13:29:08 sim ELS POD confirmed on NTS</t>
  </si>
  <si>
    <t>YANFENG GLOBAL AUTOM</t>
  </si>
  <si>
    <t xml:space="preserve">ernest              </t>
  </si>
  <si>
    <t>09/05/2019 16:10:38 moo PRY POD confirmed on NTS</t>
  </si>
  <si>
    <t xml:space="preserve">lungiswa            </t>
  </si>
  <si>
    <t>09/05/2019 18:45:37 UAT PLZ POD confirmed on NTS</t>
  </si>
  <si>
    <t>09/05/2019 19:00:24 UAT PLZ POD confirmed on NTS</t>
  </si>
  <si>
    <t xml:space="preserve">CLOVER SA (PTY) LTD </t>
  </si>
  <si>
    <t xml:space="preserve">Clinton             </t>
  </si>
  <si>
    <t>09/05/2019 18:57:50 UAT PLZ POD confirmed on NTS</t>
  </si>
  <si>
    <t>09/05/2019 13:35:46 sim ELS POD confirmed on NTS</t>
  </si>
  <si>
    <t>09/05/2019 18:57:13 UAT PLZ POD confirmed on NTS</t>
  </si>
  <si>
    <t>09/05/2019 19:39:39 NLG PLZ POD confirmed on NTS</t>
  </si>
  <si>
    <t xml:space="preserve">moses               </t>
  </si>
  <si>
    <t>09/05/2019 18:35:00 moo PRY POD confirmed on NTS</t>
  </si>
  <si>
    <t>09/05/2019 18:36:29 moo PRY POD confirmed on NTS</t>
  </si>
  <si>
    <t>09/05/2019 12:37:41 ssh DUR POD confirmed on NTS</t>
  </si>
  <si>
    <t xml:space="preserve">hennie              </t>
  </si>
  <si>
    <t>09/05/2019 18:45:27 UAT PLZ POD confirmed on NTS</t>
  </si>
  <si>
    <t>09/05/2019 19:55:36 cvd CPT POD confirmed on NTS</t>
  </si>
  <si>
    <t xml:space="preserve">LAUB ENGIEERING PTY </t>
  </si>
  <si>
    <t xml:space="preserve">gerald              </t>
  </si>
  <si>
    <t>09/05/2019 13:36:04 cvd CPT POD confirmed on NTS</t>
  </si>
  <si>
    <t>09/05/2019 15:15:02 cvd CPT POD confirmed on NTS</t>
  </si>
  <si>
    <t>09/05/2019 12:07:23 ssh DUR POD confirmed on NTS</t>
  </si>
  <si>
    <t xml:space="preserve">cina                </t>
  </si>
  <si>
    <t>09/05/2019 19:55:52 cvd CPT POD confirmed on NTS</t>
  </si>
  <si>
    <t xml:space="preserve">clive               </t>
  </si>
  <si>
    <t>09/05/2019 13:30:06 cvd CPT POD confirmed on NTS</t>
  </si>
  <si>
    <t>09/05/2019 17:40:55 cvd CPT POD confirmed on NTS</t>
  </si>
  <si>
    <t>BOWLER PLASTICS (PTY</t>
  </si>
  <si>
    <t xml:space="preserve">Brandon             </t>
  </si>
  <si>
    <t>09/05/2019 17:13:56 cvd CPT POD confirmed on NTS</t>
  </si>
  <si>
    <t>09/05/2019 13:04:15 ssh DUR POD confirmed on NTS</t>
  </si>
  <si>
    <t xml:space="preserve">Richard             </t>
  </si>
  <si>
    <t>09/05/2019 18:45:02 UAT PLZ POD confirmed on NTS</t>
  </si>
  <si>
    <t>09/05/2019 12:07:15 ssh DUR POD confirmed on NTS</t>
  </si>
  <si>
    <t>09/05/2019 19:39:12 NLG PLZ POD confirmed on NTS</t>
  </si>
  <si>
    <t>09/05/2019 18:45:15 UAT PLZ POD confirmed on NTS</t>
  </si>
  <si>
    <t>COMPTECH ELECTRONICS</t>
  </si>
  <si>
    <t xml:space="preserve">veli                </t>
  </si>
  <si>
    <t>09/05/2019 19:01:08 UAT PLZ POD confirmed on NTS</t>
  </si>
  <si>
    <t xml:space="preserve">B W                 </t>
  </si>
  <si>
    <t>09/05/2019 14:51:07 SYSTEM  POD Upload Android</t>
  </si>
  <si>
    <t>TIGER CONSUMER BRAND</t>
  </si>
  <si>
    <t xml:space="preserve">thandi              </t>
  </si>
  <si>
    <t>09/05/2019 14:04:30 ssh DUR POD confirmed on NTS</t>
  </si>
  <si>
    <t xml:space="preserve">mr david            </t>
  </si>
  <si>
    <t xml:space="preserve">george              </t>
  </si>
  <si>
    <t>PRECISION METAL PROD</t>
  </si>
  <si>
    <t xml:space="preserve">dhaya               </t>
  </si>
  <si>
    <t>09/05/2019 13:04:35 ssh DUR POD confirmed on NTS</t>
  </si>
  <si>
    <t>09/05/2019 19:41:32 NGF CPT POD confirmed on NTS</t>
  </si>
  <si>
    <t>KANSAI PLASCON KRUGE</t>
  </si>
  <si>
    <t xml:space="preserve">ZELDA               </t>
  </si>
  <si>
    <t>09/05/2019 17:34:33 let JNX POD confirmed on NTS</t>
  </si>
  <si>
    <t>09/05/2019 16:43:56 cvd CPT POD confirmed on NTS</t>
  </si>
  <si>
    <t>TORRE AUTOMOTIVE (PT</t>
  </si>
  <si>
    <t xml:space="preserve">liesl               </t>
  </si>
  <si>
    <t>09/05/2019 18:26:53 cvd CPT POD confirmed on NTS</t>
  </si>
  <si>
    <t>PMD PACKAGING SYSTEM</t>
  </si>
  <si>
    <t xml:space="preserve">Andre               </t>
  </si>
  <si>
    <t>09/05/2019 18:44:38 UAT PLZ POD confirmed on NTS</t>
  </si>
  <si>
    <t xml:space="preserve">KAREN               </t>
  </si>
  <si>
    <t>09/05/2019 19:09:22 moo PRY POD confirmed on NTS</t>
  </si>
  <si>
    <t>FRONERI SOUTH AFRICA</t>
  </si>
  <si>
    <t>09/05/2019 18:01:52 ADR BEH POD confirmed on NTS</t>
  </si>
  <si>
    <t>NJC MANUFACTURING (P</t>
  </si>
  <si>
    <t xml:space="preserve">linda               </t>
  </si>
  <si>
    <t xml:space="preserve">MARCOM PLASTICS CC  </t>
  </si>
  <si>
    <t xml:space="preserve">thulani             </t>
  </si>
  <si>
    <t>09/05/2019 16:10:18 moo PRY POD confirmed on NTS</t>
  </si>
  <si>
    <t xml:space="preserve">BADER SA PTY LTD    </t>
  </si>
  <si>
    <t>09/05/2019 18:37:54 moo PRY POD confirmed on NTS</t>
  </si>
  <si>
    <t>09/05/2019 16:30:16 SYSTEM  POD Upload Android</t>
  </si>
  <si>
    <t xml:space="preserve">MAXION WHEELS SA    </t>
  </si>
  <si>
    <t xml:space="preserve">LETTA               </t>
  </si>
  <si>
    <t>09/05/2019 12:05:09 ssh DUR POD confirmed on NTS</t>
  </si>
  <si>
    <t>09/05/2019 12:07:31 ssh DUR POD confirmed on NTS</t>
  </si>
  <si>
    <t xml:space="preserve">RCL FOODS CONSUMER  </t>
  </si>
  <si>
    <t xml:space="preserve">Nombuso             </t>
  </si>
  <si>
    <t xml:space="preserve">LURICO              </t>
  </si>
  <si>
    <t xml:space="preserve">joseph              </t>
  </si>
  <si>
    <t>09/05/2019 18:44:55 UAT PLZ POD confirmed on NTS</t>
  </si>
  <si>
    <t>PREMIER CAPE TOWN WH</t>
  </si>
  <si>
    <t xml:space="preserve">p de wet            </t>
  </si>
  <si>
    <t>09/05/2019 18:04:51 NGF CPT POD confirmed on NTS</t>
  </si>
  <si>
    <t xml:space="preserve">buyile              </t>
  </si>
  <si>
    <t>09/05/2019 13:18:50 sim ELS POD confirmed on NTS</t>
  </si>
  <si>
    <t xml:space="preserve">Reggie              </t>
  </si>
  <si>
    <t>09/05/2019 17:19:44 NGF CPT POD confirmed on NTS</t>
  </si>
  <si>
    <t>TECHQUIP DEVELOPMENT</t>
  </si>
  <si>
    <t xml:space="preserve">r maques            </t>
  </si>
  <si>
    <t>09/05/2019 13:36:28 ssh DUR POD confirmed on NTS</t>
  </si>
  <si>
    <t xml:space="preserve">j peg               </t>
  </si>
  <si>
    <t>09/05/2019 17:20:07 cvd CPT POD confirmed on NTS</t>
  </si>
  <si>
    <t xml:space="preserve">GRANROTH            </t>
  </si>
  <si>
    <t xml:space="preserve">katia               </t>
  </si>
  <si>
    <t>09/05/2019 18:54:53 UAT PLZ POD confirmed on NTS</t>
  </si>
  <si>
    <t>09/05/2019 19:37:52 NLG PLZ POD confirmed on NTS</t>
  </si>
  <si>
    <t>09/05/2019 18:35:31 moo PRY POD confirmed on NTS</t>
  </si>
  <si>
    <t>CLOVER WATERS PTY LT</t>
  </si>
  <si>
    <t xml:space="preserve">zyl                 </t>
  </si>
  <si>
    <t>10/05/2019 17:52:41 blm PRY POD confirmed on NTS</t>
  </si>
  <si>
    <t xml:space="preserve">ROLAND              </t>
  </si>
  <si>
    <t>09/05/2019 15:43:39 ssh DUR POD confirmed on NTS</t>
  </si>
  <si>
    <t>09/05/2019 16:10:46 moo PRY POD confirmed on NTS</t>
  </si>
  <si>
    <t>CSIR CENTRAL PROCURE</t>
  </si>
  <si>
    <t xml:space="preserve">khutso              </t>
  </si>
  <si>
    <t>09/05/2019 18:19:12 moo PRY POD confirmed on NTS</t>
  </si>
  <si>
    <t xml:space="preserve">andries             </t>
  </si>
  <si>
    <t>09/05/2019 16:38:14 moo PRY POD confirmed on NTS</t>
  </si>
  <si>
    <t>09/05/2019 15:12:51 cvd CPT POD confirmed on NTS</t>
  </si>
  <si>
    <t>09/05/2019 18:57:23 UAT PLZ POD confirmed on NTS</t>
  </si>
  <si>
    <t>P D ENGENEERING SERV</t>
  </si>
  <si>
    <t xml:space="preserve">tracy               </t>
  </si>
  <si>
    <t>09/05/2019 13:36:53 ssh DUR POD confirmed on NTS</t>
  </si>
  <si>
    <t>ADJ ENGINEERING WORK</t>
  </si>
  <si>
    <t xml:space="preserve">vernon              </t>
  </si>
  <si>
    <t>09/05/2019 14:08:57 ssh DUR POD confirmed on NTS</t>
  </si>
  <si>
    <t>09/05/2019 13:55:09 ssh DUR POD confirmed on NTS</t>
  </si>
  <si>
    <t xml:space="preserve">ABRAM               </t>
  </si>
  <si>
    <t>10/05/2019 20:05:42 let JNX POD confirmed on NTS</t>
  </si>
  <si>
    <t xml:space="preserve">TOYOTA SA MOTORS    </t>
  </si>
  <si>
    <t xml:space="preserve">Z C CELE            </t>
  </si>
  <si>
    <t>10/05/2019 14:06:42 SSH DUR POD confirmed on NTS</t>
  </si>
  <si>
    <t xml:space="preserve">PHARMA - Q PTY LTD  </t>
  </si>
  <si>
    <t xml:space="preserve">obvious             </t>
  </si>
  <si>
    <t>LAFARGE INDUSTRIES S</t>
  </si>
  <si>
    <t xml:space="preserve">phumla              </t>
  </si>
  <si>
    <t xml:space="preserve">N WALT              </t>
  </si>
  <si>
    <t xml:space="preserve">DEW CRISP PTY LTD   </t>
  </si>
  <si>
    <t xml:space="preserve">Sylvia              </t>
  </si>
  <si>
    <t xml:space="preserve">hamsay              </t>
  </si>
  <si>
    <t xml:space="preserve">Desmond             </t>
  </si>
  <si>
    <t xml:space="preserve">shiean              </t>
  </si>
  <si>
    <t xml:space="preserve">queen               </t>
  </si>
  <si>
    <t>10/05/2019 15:23:49 blm PRY POD confirmed on NTS</t>
  </si>
  <si>
    <t xml:space="preserve">dannie              </t>
  </si>
  <si>
    <t>10/05/2019 17:32:33 moo PRY POD confirmed on NTS</t>
  </si>
  <si>
    <t xml:space="preserve">may                 </t>
  </si>
  <si>
    <t>09/05/2019 18:07:27 mss JNX Dest label printed</t>
  </si>
  <si>
    <t>ERA STENE   ROSEMA B</t>
  </si>
  <si>
    <t xml:space="preserve">buks                </t>
  </si>
  <si>
    <t>PRETORIA METAL PRESS</t>
  </si>
  <si>
    <t xml:space="preserve">ali                 </t>
  </si>
  <si>
    <t>10/05/2019 18:02:22 moo PRY POD confirmed on NTS</t>
  </si>
  <si>
    <t>BEVCAN A DIV OF NAMP</t>
  </si>
  <si>
    <t>10/05/2019 16:59:07 blm PRY POD confirmed on NTS</t>
  </si>
  <si>
    <t>10/05/2019 11:21:26 TNV ELS POD confirmed on NTS</t>
  </si>
  <si>
    <t>NLP</t>
  </si>
  <si>
    <t>BUSHBUCKRIDGE</t>
  </si>
  <si>
    <t>FOODCORP PTY LTD   S</t>
  </si>
  <si>
    <t xml:space="preserve">Thabo               </t>
  </si>
  <si>
    <t>10/05/2019 22:00:04 DAK NLP POD confirmed on NTS</t>
  </si>
  <si>
    <t>10/05/2019 16:39:52 nks RBG POD confirmed on NTS</t>
  </si>
  <si>
    <t>10/05/2019 17:34:27 moo PRY POD confirmed on NTS</t>
  </si>
  <si>
    <t>DIVFOOD A DIV OF NAM</t>
  </si>
  <si>
    <t xml:space="preserve">FES1162688706       </t>
  </si>
  <si>
    <t>13/05/2019 13:39:17 mlk JNX Return to sender</t>
  </si>
  <si>
    <t xml:space="preserve">AFDIA PTY LTD       </t>
  </si>
  <si>
    <t xml:space="preserve">esther              </t>
  </si>
  <si>
    <t>10/05/2019 17:48:52 moo PRY POD confirmed on NTS</t>
  </si>
  <si>
    <t>09/05/2019 17:51:55 mss JNX Dest label printed</t>
  </si>
  <si>
    <t xml:space="preserve">NELSON              </t>
  </si>
  <si>
    <t xml:space="preserve">tshepang            </t>
  </si>
  <si>
    <t xml:space="preserve">CHRIS               </t>
  </si>
  <si>
    <t>10/05/2019 16:58:07 UAT PLZ POD confirmed on NTS</t>
  </si>
  <si>
    <t>09/05/2019 17:54:29 mss JNX Dest label printed</t>
  </si>
  <si>
    <t xml:space="preserve">          </t>
  </si>
  <si>
    <t xml:space="preserve">                    </t>
  </si>
  <si>
    <t>10/05/2019 06:50:11 TTS PLZ data sent to 3rd party</t>
  </si>
  <si>
    <t xml:space="preserve">tumelo              </t>
  </si>
  <si>
    <t>10/05/2019 17:16:16 moo PRY POD confirmed on NTS</t>
  </si>
  <si>
    <t xml:space="preserve">EPPING CIRCCLE 2    </t>
  </si>
  <si>
    <t xml:space="preserve">WEZIWE              </t>
  </si>
  <si>
    <t>13/05/2019 19:04:22 NGF CPT POD confirmed on NTS</t>
  </si>
  <si>
    <t xml:space="preserve">BUYISILE            </t>
  </si>
  <si>
    <t>10/05/2019 11:22:03 TNV ELS POD confirmed on NTS</t>
  </si>
  <si>
    <t xml:space="preserve">Rensia              </t>
  </si>
  <si>
    <t>10/05/2019 13:29:47 TNV ELS POD confirmed on NTS</t>
  </si>
  <si>
    <t xml:space="preserve">CLOVER SA           </t>
  </si>
  <si>
    <t xml:space="preserve">marius              </t>
  </si>
  <si>
    <t>CSM BEARING AND PNEU</t>
  </si>
  <si>
    <t xml:space="preserve">Chantelle           </t>
  </si>
  <si>
    <t>10/05/2019 15:51:23 moo PRY POD confirmed on NTS</t>
  </si>
  <si>
    <t xml:space="preserve">ANYTHING ELECTRICAL </t>
  </si>
  <si>
    <t xml:space="preserve">illage              </t>
  </si>
  <si>
    <t xml:space="preserve">c m smit            </t>
  </si>
  <si>
    <t>10/05/2019 17:31:54 UAT PLZ POD confirmed on NTS</t>
  </si>
  <si>
    <t xml:space="preserve">RAYS ENGINEERING    </t>
  </si>
  <si>
    <t xml:space="preserve">DEWALD              </t>
  </si>
  <si>
    <t>TECH SOUTH   CENTRAL</t>
  </si>
  <si>
    <t xml:space="preserve">denton              </t>
  </si>
  <si>
    <t xml:space="preserve">R MICHAELS          </t>
  </si>
  <si>
    <t>10/05/2019 19:10:42 NLG PLZ POD confirmed on NTS</t>
  </si>
  <si>
    <t xml:space="preserve">EVETTE              </t>
  </si>
  <si>
    <t>13/05/2019 17:13:03 jam CPT POD confirmed on NTS</t>
  </si>
  <si>
    <t>13/05/2019 18:08:14 NGF CPT POD confirmed on NTS</t>
  </si>
  <si>
    <t xml:space="preserve">CULINARY A DIVISION </t>
  </si>
  <si>
    <t xml:space="preserve">NOKUTHUKA           </t>
  </si>
  <si>
    <t>13/05/2019 18:06:50 NGF CPT POD confirmed on NTS</t>
  </si>
  <si>
    <t xml:space="preserve">JEROME              </t>
  </si>
  <si>
    <t>10/05/2019 17:32:18 NGF CPT POD confirmed on NTS</t>
  </si>
  <si>
    <t>13/05/2019 15:08:59 jam CPT POD confirmed on NTS</t>
  </si>
  <si>
    <t>13/05/2019 18:07:21 NGF CPT POD confirmed on NTS</t>
  </si>
  <si>
    <t>13/05/2019 15:11:34 jam CPT POD confirmed on NTS</t>
  </si>
  <si>
    <t>10/05/2019 16:58:34 UAT PLZ POD confirmed on NTS</t>
  </si>
  <si>
    <t>10/05/2019 16:57:21 UAT PLZ POD confirmed on NTS</t>
  </si>
  <si>
    <t>10/05/2019 17:33:43 UAT PLZ POD confirmed on NTS</t>
  </si>
  <si>
    <t xml:space="preserve">MERCEDES - BENZ S.A </t>
  </si>
  <si>
    <t xml:space="preserve">SANDISILE           </t>
  </si>
  <si>
    <t>10/05/2019 16:38:29 AVW ELS POD confirmed on NTS</t>
  </si>
  <si>
    <t xml:space="preserve">AUTO X PTY LTD      </t>
  </si>
  <si>
    <t xml:space="preserve">alex                </t>
  </si>
  <si>
    <t>10/05/2019 17:02:00 UAT PLZ POD confirmed on NTS</t>
  </si>
  <si>
    <t xml:space="preserve">ELECTRONIC   POWER  </t>
  </si>
  <si>
    <t xml:space="preserve">Mavis               </t>
  </si>
  <si>
    <t>10/05/2019 13:37:14 TNV ELS POD confirmed on NTS</t>
  </si>
  <si>
    <t>10/05/2019 19:01:57 NLG PLZ POD confirmed on NTS</t>
  </si>
  <si>
    <t>10/05/2019 13:30:11 TNV ELS POD confirmed on NTS</t>
  </si>
  <si>
    <t>10/05/2019 19:02:06 NLG PLZ POD confirmed on NTS</t>
  </si>
  <si>
    <t>10/05/2019 19:02:03 NLG PLZ POD confirmed on NTS</t>
  </si>
  <si>
    <t>09/05/2019 18:09:21 mss JNX Dest label printed</t>
  </si>
  <si>
    <t>10/05/2019 16:58:16 UAT PLZ POD confirmed on NTS</t>
  </si>
  <si>
    <t>10/05/2019 19:01:53 NLG PLZ POD confirmed on NTS</t>
  </si>
  <si>
    <t xml:space="preserve">Teshy               </t>
  </si>
  <si>
    <t>10/05/2019 13:39:51 TNV ELS POD confirmed on NTS</t>
  </si>
  <si>
    <t xml:space="preserve">F THORNE            </t>
  </si>
  <si>
    <t>13/05/2019 16:41:27 jam CPT POD confirmed on NTS</t>
  </si>
  <si>
    <t>10/05/2019 19:02:09 NLG PLZ POD confirmed on NTS</t>
  </si>
  <si>
    <t xml:space="preserve">thula               </t>
  </si>
  <si>
    <t xml:space="preserve">DONAVAN             </t>
  </si>
  <si>
    <t>13/05/2019 19:54:41 NGF CPT POD confirmed on NTS</t>
  </si>
  <si>
    <t xml:space="preserve">PNR WAREHOUSE       </t>
  </si>
  <si>
    <t xml:space="preserve">Steven              </t>
  </si>
  <si>
    <t>10/05/2019 20:11:03 TES JNX POD confirmed on NTS</t>
  </si>
  <si>
    <t>10/05/2019 19:01:31 NLG PLZ POD confirmed on NTS</t>
  </si>
  <si>
    <t>10/05/2019 18:00:37 NLG PLZ POD confirmed on NTS</t>
  </si>
  <si>
    <t xml:space="preserve">APL CARTONS         </t>
  </si>
  <si>
    <t xml:space="preserve">JOWILL              </t>
  </si>
  <si>
    <t>14/05/2019 09:28:12 NGF CPT POD confirmed on NTS</t>
  </si>
  <si>
    <t xml:space="preserve">VINESSAN            </t>
  </si>
  <si>
    <t>15/05/2019 12:32:05 ssh DUR POD confirmed on NTS</t>
  </si>
  <si>
    <t>10/05/2019 13:26:32 SSH DUR Delivered to client</t>
  </si>
  <si>
    <t>HILTON</t>
  </si>
  <si>
    <t xml:space="preserve">KARL BARTELS        </t>
  </si>
  <si>
    <t xml:space="preserve">karl                </t>
  </si>
  <si>
    <t>10/05/2019 19:19:31 NIS PZB POD confirmed on NTS</t>
  </si>
  <si>
    <t>FRANSCHHOEK</t>
  </si>
  <si>
    <t xml:space="preserve">EKHAMANZI SPRINGS   </t>
  </si>
  <si>
    <t>13/05/2019 17:02:10 jam CPT POD confirmed on NTS</t>
  </si>
  <si>
    <t>ALBANY BAKERY A DIVI</t>
  </si>
  <si>
    <t xml:space="preserve">lwellyn             </t>
  </si>
  <si>
    <t>10/05/2019 16:39:45 nis PZB POD confirmed on NTS</t>
  </si>
  <si>
    <t xml:space="preserve">SMITHS PLASTICS PTY </t>
  </si>
  <si>
    <t xml:space="preserve">thandeka            </t>
  </si>
  <si>
    <t>10/05/2019 12:33:57 SSH DUR POD confirmed on NTS</t>
  </si>
  <si>
    <t>EAST COAST INSTRUMEN</t>
  </si>
  <si>
    <t xml:space="preserve">palline             </t>
  </si>
  <si>
    <t>10/05/2019 12:58:42 SSH DUR POD confirmed on NTS</t>
  </si>
  <si>
    <t>10/05/2019 12:35:24 SSH DUR POD confirmed on NTS</t>
  </si>
  <si>
    <t>10/05/2019 13:26:15 SSH DUR Delivered to client</t>
  </si>
  <si>
    <t>10/05/2019 16:40:29 nis PZB POD confirmed on NTS</t>
  </si>
  <si>
    <t>10/05/2019 16:39:56 nis PZB POD confirmed on NTS</t>
  </si>
  <si>
    <t>10/05/2019 18:07:12 NGF CPT POD confirmed on NTS</t>
  </si>
  <si>
    <t xml:space="preserve">Afrika              </t>
  </si>
  <si>
    <t>10/05/2019 13:37:41 TNV ELS POD confirmed on NTS</t>
  </si>
  <si>
    <t xml:space="preserve">ATLANTIS SPECIALIST </t>
  </si>
  <si>
    <t xml:space="preserve">JAMES               </t>
  </si>
  <si>
    <t>14/05/2019 18:37:23 NGF CPT POD confirmed on NTS</t>
  </si>
  <si>
    <t xml:space="preserve">BASF SA PTY LTD     </t>
  </si>
  <si>
    <t xml:space="preserve">sajini              </t>
  </si>
  <si>
    <t>10/05/2019 17:31:43 UAT PLZ POD confirmed on NTS</t>
  </si>
  <si>
    <t xml:space="preserve">CROWN CHICKENS      </t>
  </si>
  <si>
    <t>10/05/2019 18:02:06 moo PRY POD confirmed on NTS</t>
  </si>
  <si>
    <t>10/05/2019 18:08:21 blm PRY POD confirmed on NTS</t>
  </si>
  <si>
    <t xml:space="preserve">joe zikalala        </t>
  </si>
  <si>
    <t>10/05/2019 13:38:58 TNV ELS POD confirmed on NTS</t>
  </si>
  <si>
    <t xml:space="preserve">Melvin              </t>
  </si>
  <si>
    <t>10/05/2019 17:29:08 UAT PLZ POD confirmed on NTS</t>
  </si>
  <si>
    <t>10/05/2019 16:15:15 TES JNX POD confirmed on NTS</t>
  </si>
  <si>
    <t>10/05/2019 16:59:27 UAT PLZ POD confirmed on NTS</t>
  </si>
  <si>
    <t xml:space="preserve">PALFINGER SOUTHERN  </t>
  </si>
  <si>
    <t xml:space="preserve">lthembiso           </t>
  </si>
  <si>
    <t xml:space="preserve">STANLEY             </t>
  </si>
  <si>
    <t xml:space="preserve">Bernie              </t>
  </si>
  <si>
    <t xml:space="preserve">BLISS CHEMICALS     </t>
  </si>
  <si>
    <t xml:space="preserve">MITESH              </t>
  </si>
  <si>
    <t xml:space="preserve">Glangamandla        </t>
  </si>
  <si>
    <t xml:space="preserve">AVENG MANUFACTURING </t>
  </si>
  <si>
    <t xml:space="preserve">Sipho               </t>
  </si>
  <si>
    <t xml:space="preserve">SUNBAKE BENONI      </t>
  </si>
  <si>
    <t xml:space="preserve">January             </t>
  </si>
  <si>
    <t>ENTERPRISE FOOD AN D</t>
  </si>
  <si>
    <t xml:space="preserve">phumlani            </t>
  </si>
  <si>
    <t xml:space="preserve">VANESSA             </t>
  </si>
  <si>
    <t>10/05/2019 13:26:04 SSH DUR POD confirmed on NTS</t>
  </si>
  <si>
    <t xml:space="preserve">J DU TOIT           </t>
  </si>
  <si>
    <t>14/05/2019 09:27:06 NGF CPT POD confirmed on NTS</t>
  </si>
  <si>
    <t>10/05/2019 18:06:36 NGF CPT POD confirmed on NTS</t>
  </si>
  <si>
    <t xml:space="preserve">PREMIER INDUSTERIAL </t>
  </si>
  <si>
    <t xml:space="preserve">H D V D MERWE       </t>
  </si>
  <si>
    <t>13/05/2019 18:09:15 NGF CPT POD confirmed on NTS</t>
  </si>
  <si>
    <t>10/05/2019 16:03:36 blm PRY POD confirmed on NTS</t>
  </si>
  <si>
    <t>10/05/2019 12:34:53 SSH DUR POD confirmed on NTS</t>
  </si>
  <si>
    <t xml:space="preserve">ICEROMI             </t>
  </si>
  <si>
    <t>10/05/2019 17:31:47 NGF CPT POD confirmed on NTS</t>
  </si>
  <si>
    <t xml:space="preserve">FULL IMPUT          </t>
  </si>
  <si>
    <t xml:space="preserve">Dean                </t>
  </si>
  <si>
    <t>10/05/2019 14:00:34 SSH DUR POD confirmed on NTS</t>
  </si>
  <si>
    <t>13/05/2019 18:46:13 jam CPT POD confirmed on NTS</t>
  </si>
  <si>
    <t>10/05/2019 19:01:41 NLG PLZ POD confirmed on NTS</t>
  </si>
  <si>
    <t>VAN NIEKERK PACKAGIN</t>
  </si>
  <si>
    <t xml:space="preserve">Lindsay             </t>
  </si>
  <si>
    <t>13/05/2019 18:08:21 NGF CPT POD confirmed on NTS</t>
  </si>
  <si>
    <t>13/05/2019 18:09:23 NGF CPT POD confirmed on NTS</t>
  </si>
  <si>
    <t xml:space="preserve">Chevon              </t>
  </si>
  <si>
    <t>13/05/2019 17:38:49 NGF CPT POD confirmed on NTS</t>
  </si>
  <si>
    <t xml:space="preserve">Wasiefa             </t>
  </si>
  <si>
    <t>13/05/2019 17:22:29 jam CPT POD confirmed on NTS</t>
  </si>
  <si>
    <t xml:space="preserve">a styne             </t>
  </si>
  <si>
    <t xml:space="preserve">SHEHAAM             </t>
  </si>
  <si>
    <t>13/05/2019 19:03:43 NGF CPT POD confirmed on NTS</t>
  </si>
  <si>
    <t xml:space="preserve">COCA COLA PENINSULA </t>
  </si>
  <si>
    <t xml:space="preserve">Cindy               </t>
  </si>
  <si>
    <t>13/05/2019 15:58:59 NGF CPT POD confirmed on NTS</t>
  </si>
  <si>
    <t xml:space="preserve">DERCICK             </t>
  </si>
  <si>
    <t>10/05/2019 18:06:47 NGF CPT POD confirmed on NTS</t>
  </si>
  <si>
    <t xml:space="preserve">NOVUS PRINT PTY LTD </t>
  </si>
  <si>
    <t>13/05/2019 16:43:24 jam CPT POD confirmed on NTS</t>
  </si>
  <si>
    <t>10/05/2019 13:25:42 SSH DUR POD confirmed on NTS</t>
  </si>
  <si>
    <t xml:space="preserve">NEOPAK              </t>
  </si>
  <si>
    <t>10/05/2019 17:00:42 blm PRY POD confirmed on NTS</t>
  </si>
  <si>
    <t>13/05/2019 15:58:41 NGF CPT POD confirmed on NTS</t>
  </si>
  <si>
    <t>13/05/2019 17:14:11 NGF CPT POD confirmed on NTS</t>
  </si>
  <si>
    <t>13/05/2019 06:20:40 ran CPT Scanned out of cage/bay</t>
  </si>
  <si>
    <t>10/05/2019 17:31:59 NGF CPT POD confirmed on NTS</t>
  </si>
  <si>
    <t>10/05/2019 13:25:34 SSH DUR POD confirmed on NTS</t>
  </si>
  <si>
    <t xml:space="preserve">rigino              </t>
  </si>
  <si>
    <t>10/05/2019 17:33:35 moo PRY POD confirmed on NTS</t>
  </si>
  <si>
    <t>10/05/2019 16:03:45 blm PRY POD confirmed on NTS</t>
  </si>
  <si>
    <t>10/05/2019 12:35:17 SSH DUR POD confirmed on NTS</t>
  </si>
  <si>
    <t xml:space="preserve">humsay              </t>
  </si>
  <si>
    <t xml:space="preserve">COMRAD              </t>
  </si>
  <si>
    <t>10/05/2019 14:05:37 SSH DUR POD confirmed on NTS</t>
  </si>
  <si>
    <t>PREMIER FMCG (PTY)LT</t>
  </si>
  <si>
    <t xml:space="preserve">charnimane          </t>
  </si>
  <si>
    <t>10/05/2019 13:31:54 SSH DUR POD confirmed on NTS</t>
  </si>
  <si>
    <t xml:space="preserve">khuzuayo            </t>
  </si>
  <si>
    <t>10/05/2019 12:58:23 SSH DUR POD confirmed on NTS</t>
  </si>
  <si>
    <t>10/05/2019 12:58:29 SSH DUR POD confirmed on NTS</t>
  </si>
  <si>
    <t xml:space="preserve">ZF LEMFOERDER SA    </t>
  </si>
  <si>
    <t xml:space="preserve">veronica            </t>
  </si>
  <si>
    <t>10/05/2019 16:59:44 blm PRY POD confirmed on NTS</t>
  </si>
  <si>
    <t>FEDERAL MOGUL ENGINE</t>
  </si>
  <si>
    <t xml:space="preserve">VINESH              </t>
  </si>
  <si>
    <t>10/05/2019 13:02:23 SSH DUR POD confirmed on NTS</t>
  </si>
  <si>
    <t>10/05/2019 12:35:11 SSH DUR POD confirmed on NTS</t>
  </si>
  <si>
    <t>13/05/2019 18:35:46 UAT PLZ POD confirmed on NTS</t>
  </si>
  <si>
    <t>UMBOGINTWINI</t>
  </si>
  <si>
    <t xml:space="preserve">RYMCO PTY LTD ACHOR </t>
  </si>
  <si>
    <t xml:space="preserve">kuben               </t>
  </si>
  <si>
    <t>10/05/2019 13:50:00 SSH DUR POD confirmed on NTS</t>
  </si>
  <si>
    <t>NATIONAL BRANDS LOMI</t>
  </si>
  <si>
    <t xml:space="preserve">thabiso             </t>
  </si>
  <si>
    <t>10/05/2019 17:00:09 blm PRY POD confirmed on NTS</t>
  </si>
  <si>
    <t xml:space="preserve">Tasnim              </t>
  </si>
  <si>
    <t>10/05/2019 17:24:07 cvd CPT POD confirmed on NTS</t>
  </si>
  <si>
    <t>10/05/2019 17:28:16 nis PZB POD confirmed on NTS</t>
  </si>
  <si>
    <t xml:space="preserve">Vukile              </t>
  </si>
  <si>
    <t>10/05/2019 16:16:04 nis PZB POD confirmed on NTS</t>
  </si>
  <si>
    <t>10/05/2019 13:26:23 SSH DUR POD confirmed on NTS</t>
  </si>
  <si>
    <t xml:space="preserve">Mpilo   Shata       </t>
  </si>
  <si>
    <t>10/05/2019 14:52:45 NIS PZB POD confirmed on NTS</t>
  </si>
  <si>
    <t>10/05/2019 19:19:43 NIS PZB POD confirmed on NTS</t>
  </si>
  <si>
    <t>09/05/2019 17:59:01 mss JNX Dest label printed</t>
  </si>
  <si>
    <t xml:space="preserve">K SNACKS            </t>
  </si>
  <si>
    <t xml:space="preserve">tladi               </t>
  </si>
  <si>
    <t>10/05/2019 13:26:08 TNV ELS POD confirmed on NTS</t>
  </si>
  <si>
    <t>10/05/2019 19:01:48 NLG PLZ POD confirmed on NTS</t>
  </si>
  <si>
    <t xml:space="preserve">liri                </t>
  </si>
  <si>
    <t>10/05/2019 15:16:04 NIS PZB POD confirmed on NTS</t>
  </si>
  <si>
    <t>10/05/2019 14:06:30 SSH DUR POD confirmed on NTS</t>
  </si>
  <si>
    <t>10/05/2019 12:35:53 SSH DUR POD confirmed on NTS</t>
  </si>
  <si>
    <t xml:space="preserve">Musa                </t>
  </si>
  <si>
    <t>10/05/2019 16:16:35 nis PZB POD confirmed on NTS</t>
  </si>
  <si>
    <t>10/05/2019 16:40:41 nis PZB POD confirmed on NTS</t>
  </si>
  <si>
    <t>10/05/2019 12:58:35 SSH DUR POD confirmed on NTS</t>
  </si>
  <si>
    <t>UMKOMAAS</t>
  </si>
  <si>
    <t xml:space="preserve">nosipho             </t>
  </si>
  <si>
    <t>10/05/2019 19:37:23 ssh DUR POD confirmed on NTS</t>
  </si>
  <si>
    <t xml:space="preserve">Jabulani            </t>
  </si>
  <si>
    <t>10/05/2019 14:50:09 NIS PZB POD confirmed on NTS</t>
  </si>
  <si>
    <t xml:space="preserve">CLOVER SA (PTY)LTD  </t>
  </si>
  <si>
    <t xml:space="preserve">V posthumous        </t>
  </si>
  <si>
    <t>10/05/2019 13:12:10 SSH DUR POD confirmed on NTS</t>
  </si>
  <si>
    <t>10/05/2019 18:06:27 NGF CPT POD confirmed on NTS</t>
  </si>
  <si>
    <t>10/05/2019 19:37:34 ssh DUR Delivered to client</t>
  </si>
  <si>
    <t>10/05/2019 17:32:07 NGF CPT POD confirmed on NTS</t>
  </si>
  <si>
    <t>10/05/2019 12:35:41 SSH DUR POD confirmed on NTS</t>
  </si>
  <si>
    <t xml:space="preserve">ROSHNI              </t>
  </si>
  <si>
    <t>13/05/2019 16:36:13 NGF CPT POD confirmed on NTS</t>
  </si>
  <si>
    <t>10/05/2019 13:26:38 SSH DUR POD confirmed on NTS</t>
  </si>
  <si>
    <t xml:space="preserve">THOBILE             </t>
  </si>
  <si>
    <t>10/05/2019 18:01:01 ADR BEH POD confirmed on NTS</t>
  </si>
  <si>
    <t>10/05/2019 16:16:22 nis PZB POD confirmed on NTS</t>
  </si>
  <si>
    <t>SILVER CONTROLS SYST</t>
  </si>
  <si>
    <t xml:space="preserve">thomas              </t>
  </si>
  <si>
    <t>13/05/2019 15:12:07 jam CPT POD confirmed on NTS</t>
  </si>
  <si>
    <t>10/05/2019 13:26:45 SSH DUR POD confirmed on NTS</t>
  </si>
  <si>
    <t>13/05/2019 18:07:29 NGF CPT POD confirmed on NTS</t>
  </si>
  <si>
    <t>10/05/2019 18:05:53 NGF CPT POD confirmed on NTS</t>
  </si>
  <si>
    <t>10/05/2019 18:06:57 NGF CPT POD confirmed on NTS</t>
  </si>
  <si>
    <t>13/05/2019 17:12:32 jam CPT POD confirmed on NTS</t>
  </si>
  <si>
    <t>13/05/2019 18:46:31 jam CPT POD confirmed on NTS</t>
  </si>
  <si>
    <t xml:space="preserve">wendy               </t>
  </si>
  <si>
    <t xml:space="preserve">mazwi               </t>
  </si>
  <si>
    <t>10/05/2019 16:57:15 UAT PLZ POD confirmed on NTS</t>
  </si>
  <si>
    <t>10/05/2019 16:59:37 UAT PLZ POD confirmed on NTS</t>
  </si>
  <si>
    <t>10/05/2019 12:34:04 SSH DUR POD confirmed on NTS</t>
  </si>
  <si>
    <t>15/05/2019 12:35:00 TTS HST USSD POD</t>
  </si>
  <si>
    <t>10/05/2019 13:28:00 TNV ELS POD confirmed on NTS</t>
  </si>
  <si>
    <t>MIDRAND</t>
  </si>
  <si>
    <t xml:space="preserve">PARMALAT SA         </t>
  </si>
  <si>
    <t xml:space="preserve">frida               </t>
  </si>
  <si>
    <t>10/05/2019 13:27:20 TNV ELS POD confirmed on NTS</t>
  </si>
  <si>
    <t>10/05/2019 18:05:43 NGF CPT POD confirmed on NTS</t>
  </si>
  <si>
    <t xml:space="preserve">Neville             </t>
  </si>
  <si>
    <t>13/05/2019 19:15:08 NGF CPT POD confirmed on NTS</t>
  </si>
  <si>
    <t xml:space="preserve">CAXTON WORKS        </t>
  </si>
  <si>
    <t xml:space="preserve">maxwell             </t>
  </si>
  <si>
    <t xml:space="preserve">boike               </t>
  </si>
  <si>
    <t>10/05/2019 17:33:14 UAT PLZ POD confirmed on NTS</t>
  </si>
  <si>
    <t>13/05/2019 15:07:40 alr UTN POD confirmed on NTS</t>
  </si>
  <si>
    <t xml:space="preserve">ashwin              </t>
  </si>
  <si>
    <t>10/05/2019 19:12:22 NLG PLZ POD confirmed on NTS</t>
  </si>
  <si>
    <t xml:space="preserve">wesley              </t>
  </si>
  <si>
    <t>10/05/2019 17:34:33 UAT PLZ POD confirmed on NTS</t>
  </si>
  <si>
    <t xml:space="preserve">thumayi             </t>
  </si>
  <si>
    <t xml:space="preserve">JUVESH              </t>
  </si>
  <si>
    <t>10/05/2019 14:05:54 SSH DUR POD confirmed on NTS</t>
  </si>
  <si>
    <t>HENNENMAN</t>
  </si>
  <si>
    <t xml:space="preserve">Paulina             </t>
  </si>
  <si>
    <t>10/05/2019 17:39:38 chb WEL POD confirmed on NTS</t>
  </si>
  <si>
    <t>NAMPAK LIQUID PACKAG</t>
  </si>
  <si>
    <t xml:space="preserve">Allen               </t>
  </si>
  <si>
    <t>10/05/2019 13:02:17 SSH DUR POD confirmed on NTS</t>
  </si>
  <si>
    <t>10/05/2019 12:36:03 SSH DUR POD confirmed on NTS</t>
  </si>
  <si>
    <t>09/05/2019 17:56:51 mss JNX Dest label printed</t>
  </si>
  <si>
    <t>COCA-COCAL BEVERAGES</t>
  </si>
  <si>
    <t>10/05/2019 17:33:28 moo PRY POD confirmed on NTS</t>
  </si>
  <si>
    <t>Ernest Lowe A Divisi</t>
  </si>
  <si>
    <t xml:space="preserve">webster             </t>
  </si>
  <si>
    <t xml:space="preserve">MARCELLINO          </t>
  </si>
  <si>
    <t>14/05/2019 09:26:35 NGF CPT POD confirmed on NTS</t>
  </si>
  <si>
    <t>13/05/2019 15:10:45 jam CPT POD confirmed on NTS</t>
  </si>
  <si>
    <t>10/05/2019 23:11:08 seb GRJ POD confirmed on NTS</t>
  </si>
  <si>
    <t>10/05/2019 13:27:40 TNV ELS POD confirmed on NTS</t>
  </si>
  <si>
    <t>10/05/2019 14:01:27 SSH DUR POD confirmed on NTS</t>
  </si>
  <si>
    <t>TSITSIKAMMA</t>
  </si>
  <si>
    <t xml:space="preserve">TSITSIKAMMA CRYSTAL </t>
  </si>
  <si>
    <t>15::1</t>
  </si>
  <si>
    <t xml:space="preserve">L RICHARDSON        </t>
  </si>
  <si>
    <t>13/05/2019 17:31:34 TTS PLZ Delivered to client</t>
  </si>
  <si>
    <t>COLGATE PALMOLIVE LT</t>
  </si>
  <si>
    <t xml:space="preserve">joshua              </t>
  </si>
  <si>
    <t xml:space="preserve">ISEGEN S. A         </t>
  </si>
  <si>
    <t xml:space="preserve">PREGS               </t>
  </si>
  <si>
    <t>10/05/2019 14:06:13 SSH DUR POD confirmed on NTS</t>
  </si>
  <si>
    <t>10/05/2019 12:35:04 SSH DUR POD confirmed on NTS</t>
  </si>
  <si>
    <t xml:space="preserve">BEARINGS ON CC      </t>
  </si>
  <si>
    <t xml:space="preserve">bashir              </t>
  </si>
  <si>
    <t xml:space="preserve">MONIQUE             </t>
  </si>
  <si>
    <t>10/05/2019 19:02:13 NLG PLZ POD confirmed on NTS</t>
  </si>
  <si>
    <t xml:space="preserve">Slk Bolt And Nuts   </t>
  </si>
  <si>
    <t xml:space="preserve">BINGO               </t>
  </si>
  <si>
    <t>13/05/2019 18:14:21 let JNX POD confirmed on NTS</t>
  </si>
  <si>
    <t xml:space="preserve">kabelo              </t>
  </si>
  <si>
    <t xml:space="preserve">EUREKA CONSTRUCTION </t>
  </si>
  <si>
    <t xml:space="preserve">Jonas               </t>
  </si>
  <si>
    <t>13/05/2019 16:59:05 jon WEL POD confirmed on NTS</t>
  </si>
  <si>
    <t>13/05/2019 17:32:43 lin PLZ POD confirmed on NTS</t>
  </si>
  <si>
    <t>13/05/2019 13:23:07 sim ELS POD confirmed on NTS</t>
  </si>
  <si>
    <t xml:space="preserve">john                </t>
  </si>
  <si>
    <t>M   C BEARINGS   TRA</t>
  </si>
  <si>
    <t xml:space="preserve">Kylie               </t>
  </si>
  <si>
    <t xml:space="preserve">ERGO MINING         </t>
  </si>
  <si>
    <t xml:space="preserve">mike                </t>
  </si>
  <si>
    <t>GELUKWAARTS</t>
  </si>
  <si>
    <t>PREMIER FMCG (PTY) L</t>
  </si>
  <si>
    <t xml:space="preserve">hontlangano         </t>
  </si>
  <si>
    <t>14/05/2019 11:26:09 chb WEL Delivered to client</t>
  </si>
  <si>
    <t xml:space="preserve">agnes               </t>
  </si>
  <si>
    <t>13/05/2019 17:32:51 lin PLZ POD confirmed on NTS</t>
  </si>
  <si>
    <t>13/05/2019 17:37:33 NIS PZB POD confirmed on NTS</t>
  </si>
  <si>
    <t>ROMATEX HOME TEXTILE</t>
  </si>
  <si>
    <t xml:space="preserve">gugu                </t>
  </si>
  <si>
    <t>13/05/2019 13:50:24 ssh DUR POD confirmed on NTS</t>
  </si>
  <si>
    <t xml:space="preserve">Jade                </t>
  </si>
  <si>
    <t>15/05/2019 17:33:37 lin PLZ POD confirmed on NTS</t>
  </si>
  <si>
    <t xml:space="preserve">B M                 </t>
  </si>
  <si>
    <t>13/05/2019 15:53:19 NIS PZB POD confirmed on NTS</t>
  </si>
  <si>
    <t xml:space="preserve">TROPICAL PLASTICS   </t>
  </si>
  <si>
    <t xml:space="preserve">Abbas               </t>
  </si>
  <si>
    <t>13/05/2019 13:53:22 ssh DUR POD confirmed on NTS</t>
  </si>
  <si>
    <t>13/05/2019 14:56:23 NIS PZB POD confirmed on NTS</t>
  </si>
  <si>
    <t>13/05/2019 15:11:52 jam CPT POD confirmed on NTS</t>
  </si>
  <si>
    <t>collected at branch</t>
  </si>
  <si>
    <t>13/05/2019 17:33:16 lin PLZ POD confirmed on NTS</t>
  </si>
  <si>
    <t>SHATTERPRUFE NEAVE P</t>
  </si>
  <si>
    <t xml:space="preserve">zeenat              </t>
  </si>
  <si>
    <t>13/05/2019 18:52:17 UAT PLZ POD confirmed on NTS</t>
  </si>
  <si>
    <t>13/05/2019 16:41:51 jam CPT POD confirmed on NTS</t>
  </si>
  <si>
    <t xml:space="preserve">F THERNE            </t>
  </si>
  <si>
    <t>13/05/2019 16:39:37 jam CPT POD confirmed on NTS</t>
  </si>
  <si>
    <t xml:space="preserve">Brendan             </t>
  </si>
  <si>
    <t>13/05/2019 18:36:45 UAT PLZ POD confirmed on NTS</t>
  </si>
  <si>
    <t xml:space="preserve">sibusiso            </t>
  </si>
  <si>
    <t>SPERO SENSORS   INST</t>
  </si>
  <si>
    <t xml:space="preserve">Mosa                </t>
  </si>
  <si>
    <t>13/05/2019 15:22:36 moo PRY POD confirmed on NTS</t>
  </si>
  <si>
    <t>14/05/2019 11:26:49 chb WEL Delivered to client</t>
  </si>
  <si>
    <t>13/05/2019 16:42:25 jam CPT POD confirmed on NTS</t>
  </si>
  <si>
    <t xml:space="preserve">COLLEN              </t>
  </si>
  <si>
    <t xml:space="preserve">francinah           </t>
  </si>
  <si>
    <t xml:space="preserve">gert                </t>
  </si>
  <si>
    <t>13/05/2019 17:13:42 NGF CPT POD confirmed on NTS</t>
  </si>
  <si>
    <t xml:space="preserve">freddie             </t>
  </si>
  <si>
    <t>MPACT PLASTICS COMPR</t>
  </si>
  <si>
    <t xml:space="preserve">JOHN                </t>
  </si>
  <si>
    <t>13/05/2019 15:09:07 jam CPT POD confirmed on NTS</t>
  </si>
  <si>
    <t>13/05/2019 17:25:36 phr NEW POD confirmed on NTS</t>
  </si>
  <si>
    <t>SMARTSTONE KZN DIV O</t>
  </si>
  <si>
    <t xml:space="preserve">simone              </t>
  </si>
  <si>
    <t>13/05/2019 16:41:39 ssh DUR POD confirmed on NTS</t>
  </si>
  <si>
    <t>13/05/2019 11:50:16 ssh DUR POD confirmed on NTS</t>
  </si>
  <si>
    <t xml:space="preserve">sherif              </t>
  </si>
  <si>
    <t>13/05/2019 16:01:07 NIS PZB POD confirmed on NTS</t>
  </si>
  <si>
    <t xml:space="preserve">andiswa             </t>
  </si>
  <si>
    <t>13/05/2019 15:02:35 AVW ELS POD confirmed on NTS</t>
  </si>
  <si>
    <t xml:space="preserve">noxolo              </t>
  </si>
  <si>
    <t>14/05/2019 16:39:36 moo PRY POD confirmed on NTS</t>
  </si>
  <si>
    <t>13/05/2019 11:49:51 ssh DUR POD confirmed on NTS</t>
  </si>
  <si>
    <t>13/05/2019 16:00:47 NIS PZB POD confirmed on NTS</t>
  </si>
  <si>
    <t>13/05/2019 11:50:30 ssh DUR POD confirmed on NTS</t>
  </si>
  <si>
    <t xml:space="preserve">KAVENESH       </t>
  </si>
  <si>
    <t xml:space="preserve">FESTO PLZ           </t>
  </si>
  <si>
    <t>13/05/2019 18:10:59 UAT PLZ POD confirmed on NTS</t>
  </si>
  <si>
    <t>13/05/2019 12:25:37 ssh DUR POD confirmed on NTS</t>
  </si>
  <si>
    <t xml:space="preserve">echarel             </t>
  </si>
  <si>
    <t>13/05/2019 15:11:55 moo PRY POD confirmed on NTS</t>
  </si>
  <si>
    <t>13/05/2019 17:31:59 blm PRY POD confirmed on NTS</t>
  </si>
  <si>
    <t>COPPER TUBING AFRICA</t>
  </si>
  <si>
    <t xml:space="preserve">jerome              </t>
  </si>
  <si>
    <t xml:space="preserve">RACHEL              </t>
  </si>
  <si>
    <t>13/05/2019 17:33:26 lin PLZ POD confirmed on NTS</t>
  </si>
  <si>
    <t xml:space="preserve">Annah               </t>
  </si>
  <si>
    <t xml:space="preserve">JACOBS              </t>
  </si>
  <si>
    <t>13/05/2019 17:33:45 blm PRY POD confirmed on NTS</t>
  </si>
  <si>
    <t>13/05/2019 18:35:35 UAT PLZ POD confirmed on NTS</t>
  </si>
  <si>
    <t xml:space="preserve">francina            </t>
  </si>
  <si>
    <t>13/05/2019 18:59:36 moo PRY POD confirmed on NTS</t>
  </si>
  <si>
    <t xml:space="preserve">SUPER               </t>
  </si>
  <si>
    <t xml:space="preserve">RE SEND PARCEL </t>
  </si>
  <si>
    <t>13/05/2019 17:14:00 NGF CPT POD confirmed on NTS</t>
  </si>
  <si>
    <t>13/05/2019 18:47:22 UAT PLZ POD confirmed on NTS</t>
  </si>
  <si>
    <t>13/05/2019 18:08:07 NGF CPT POD confirmed on NTS</t>
  </si>
  <si>
    <t xml:space="preserve">ROWAN               </t>
  </si>
  <si>
    <t>13/05/2019 16:13:37 NGF CPT POD confirmed on NTS</t>
  </si>
  <si>
    <t>13/05/2019 15:10:17 jam CPT POD confirmed on NTS</t>
  </si>
  <si>
    <t>13/05/2019 21:48:40 seb GRJ POD confirmed on NTS</t>
  </si>
  <si>
    <t>13/05/2019 16:40:06 jam CPT POD confirmed on NTS</t>
  </si>
  <si>
    <t>13/05/2019 17:13:55 NGF CPT POD confirmed on NTS</t>
  </si>
  <si>
    <t>13/05/2019 15:10:00 jam CPT POD confirmed on NTS</t>
  </si>
  <si>
    <t>13/05/2019 17:14:03 NGF CPT POD confirmed on NTS</t>
  </si>
  <si>
    <t xml:space="preserve">NICRO INDUSTRIAL    </t>
  </si>
  <si>
    <t xml:space="preserve">sharon              </t>
  </si>
  <si>
    <t>13/05/2019 16:59:14 jon WEL POD confirmed on NTS</t>
  </si>
  <si>
    <t xml:space="preserve">EXTRUFORM PTY LTD   </t>
  </si>
  <si>
    <t xml:space="preserve">C VAN WYK           </t>
  </si>
  <si>
    <t>13/05/2019 19:48:34 NGF CPT POD confirmed on NTS</t>
  </si>
  <si>
    <t xml:space="preserve">Bonginkosi          </t>
  </si>
  <si>
    <t>13/05/2019 16:13:27 NIS PZB POD confirmed on NTS</t>
  </si>
  <si>
    <t>13/05/2019 18:50:42 ssh DUR POD confirmed on NTS</t>
  </si>
  <si>
    <t>13/05/2019 16:01:22 NIS PZB POD confirmed on NTS</t>
  </si>
  <si>
    <t>13/05/2019 17:10:03 ssh DUR POD confirmed on NTS</t>
  </si>
  <si>
    <t xml:space="preserve">TECHNICAL PRECISE   </t>
  </si>
  <si>
    <t>13/05/2019 12:21:03 ssh DUR POD confirmed on NTS</t>
  </si>
  <si>
    <t>13/05/2019 12:22:46 ssh DUR POD confirmed on NTS</t>
  </si>
  <si>
    <t xml:space="preserve">anisile             </t>
  </si>
  <si>
    <t>13/05/2019 12:22:11 ssh DUR POD confirmed on NTS</t>
  </si>
  <si>
    <t xml:space="preserve">NOME                </t>
  </si>
  <si>
    <t>13/05/2019 11:49:34 ssh DUR POD confirmed on NTS</t>
  </si>
  <si>
    <t xml:space="preserve">SHORT SUPLIED  </t>
  </si>
  <si>
    <t>13/05/2019 12:22:53 ssh DUR POD confirmed on NTS</t>
  </si>
  <si>
    <t xml:space="preserve">BLENDCOR (PTY) LTD  </t>
  </si>
  <si>
    <t xml:space="preserve">Michael             </t>
  </si>
  <si>
    <t>13/05/2019 14:39:03 ssh DUR POD confirmed on NTS</t>
  </si>
  <si>
    <t xml:space="preserve">VESUVIUS            </t>
  </si>
  <si>
    <t xml:space="preserve">godly               </t>
  </si>
  <si>
    <t>VREDENBURG</t>
  </si>
  <si>
    <t>BEARINGS DISTRIBUTOR</t>
  </si>
  <si>
    <t xml:space="preserve">GARFIELD            </t>
  </si>
  <si>
    <t>16/05/2019 11:20:20 NGF CPT POD confirmed on NTS</t>
  </si>
  <si>
    <t>ON1 - SAT</t>
  </si>
  <si>
    <t xml:space="preserve">SKYNET WORLWIDE EXP </t>
  </si>
  <si>
    <t xml:space="preserve">SHARIEF             </t>
  </si>
  <si>
    <t>13/05/2019 12:53:01 NGF CPT POD confirmed on NTS</t>
  </si>
  <si>
    <t>COMPANY (GRIPPE</t>
  </si>
  <si>
    <t xml:space="preserve">Yannies             </t>
  </si>
  <si>
    <t xml:space="preserve">dennis              </t>
  </si>
  <si>
    <t>13/05/2019 18:16:16 mmd JNX POD confirmed on NTS</t>
  </si>
  <si>
    <t>VALIDUS MEDICAL (PTY</t>
  </si>
  <si>
    <t xml:space="preserve">CHARLES             </t>
  </si>
  <si>
    <t>13/05/2019 18:58:51 moo PRY POD confirmed on NTS</t>
  </si>
  <si>
    <t>13/05/2019 14:56:40 NIS PZB POD confirmed on NTS</t>
  </si>
  <si>
    <t>DELPOORTSHOOP</t>
  </si>
  <si>
    <t>AFRISAM SOUHT AFRICA</t>
  </si>
  <si>
    <t xml:space="preserve">Gregory             </t>
  </si>
  <si>
    <t>15/05/2019 07:38:55 mib KIM POD confirmed on NTS</t>
  </si>
  <si>
    <t xml:space="preserve">Olga                </t>
  </si>
  <si>
    <t xml:space="preserve">M FOURIE            </t>
  </si>
  <si>
    <t>13/05/2019 17:24:05 nks RBG POD confirmed on NTS</t>
  </si>
  <si>
    <t xml:space="preserve">selb                </t>
  </si>
  <si>
    <t>13/05/2019 17:26:05 moo PRY POD confirmed on NTS</t>
  </si>
  <si>
    <t>13/05/2019 12:22:59 ssh DUR POD confirmed on NTS</t>
  </si>
  <si>
    <t xml:space="preserve">L DU PLESSIES       </t>
  </si>
  <si>
    <t>13/05/2019 17:30:45 mib KIM POD confirmed on NTS</t>
  </si>
  <si>
    <t>13/05/2019 18:36:20 UAT PLZ POD confirmed on NTS</t>
  </si>
  <si>
    <t xml:space="preserve">SAPPI SA            </t>
  </si>
  <si>
    <t>13/05/2019 18:51:34 ssh DUR POD confirmed on NTS</t>
  </si>
  <si>
    <t xml:space="preserve">JORIE               </t>
  </si>
  <si>
    <t>13/05/2019 14:57:19 alr UTN POD confirmed on NTS</t>
  </si>
  <si>
    <t>13/05/2019 19:56:02 NGF CPT POD confirmed on NTS</t>
  </si>
  <si>
    <t>13/05/2019 17:13:45 NGF CPT POD confirmed on NTS</t>
  </si>
  <si>
    <t>NTE COMPANY (PTY)LTD</t>
  </si>
  <si>
    <t xml:space="preserve">zama                </t>
  </si>
  <si>
    <t>15/05/2019 15:09:55 reg WIT POD confirmed on NTS</t>
  </si>
  <si>
    <t>AM SYSTEMS INTERGRAT</t>
  </si>
  <si>
    <t xml:space="preserve">RICHARD             </t>
  </si>
  <si>
    <t>13/05/2019 19:02:15 NGF CPT POD confirmed on NTS</t>
  </si>
  <si>
    <t>13/05/2019 12:23:18 ssh DUR POD confirmed on NTS</t>
  </si>
  <si>
    <t xml:space="preserve">INTERCEMENT S.A     </t>
  </si>
  <si>
    <t xml:space="preserve">wenzyl              </t>
  </si>
  <si>
    <t>13/05/2019 14:30:27 ssh DUR POD confirmed on NTS</t>
  </si>
  <si>
    <t>13/05/2019 11:50:08 ssh DUR POD confirmed on NTS</t>
  </si>
  <si>
    <t xml:space="preserve">J F EQUIPMENT       </t>
  </si>
  <si>
    <t>13/05/2019 17:08:31 ADR BEH POD confirmed on NTS</t>
  </si>
  <si>
    <t>13/05/2019 11:59:50 ssh DUR POD confirmed on NTS</t>
  </si>
  <si>
    <t>13/05/2019 12:21:46 ssh DUR POD confirmed on NTS</t>
  </si>
  <si>
    <t>13/05/2019 14:56:57 NIS PZB POD confirmed on NTS</t>
  </si>
  <si>
    <t>13/05/2019 17:02:36 jam CPT POD confirmed on NTS</t>
  </si>
  <si>
    <t xml:space="preserve">F THERON            </t>
  </si>
  <si>
    <t>13/05/2019 16:39:11 jam CPT POD confirmed on NTS</t>
  </si>
  <si>
    <t xml:space="preserve">SINGISI FOREST      </t>
  </si>
  <si>
    <t xml:space="preserve">Conrad              </t>
  </si>
  <si>
    <t>COCA -COLA BEVERAGES</t>
  </si>
  <si>
    <t xml:space="preserve">abiday              </t>
  </si>
  <si>
    <t xml:space="preserve">Le Riche            </t>
  </si>
  <si>
    <t>13/05/2019 18:09:07 NGF CPT POD confirmed on NTS</t>
  </si>
  <si>
    <t>13/05/2019 16:55:16 NGF CPT POD confirmed on NTS</t>
  </si>
  <si>
    <t>PERMECH ASSEMBLERS P</t>
  </si>
  <si>
    <t xml:space="preserve">S Ferreirra         </t>
  </si>
  <si>
    <t>13/05/2019 18:08:41 NGF CPT POD confirmed on NTS</t>
  </si>
  <si>
    <t>13/05/2019 15:09:51 jam CPT POD confirmed on NTS</t>
  </si>
  <si>
    <t>ARCTURUS MANUFACTURI</t>
  </si>
  <si>
    <t xml:space="preserve">mpho                </t>
  </si>
  <si>
    <t>13/05/2019 12:26:08 ssh DUR POD confirmed on NTS</t>
  </si>
  <si>
    <t>13/05/2019 17:37:19 NIS PZB POD confirmed on NTS</t>
  </si>
  <si>
    <t>13/05/2019 14:30:07 ssh DUR POD confirmed on NTS</t>
  </si>
  <si>
    <t>COCA-COLA BEVERGES S</t>
  </si>
  <si>
    <t xml:space="preserve">K GOUNDEN           </t>
  </si>
  <si>
    <t>13/05/2019 12:12:07 ssh DUR POD confirmed on NTS</t>
  </si>
  <si>
    <t>13/05/2019 11:49:59 ssh DUR POD confirmed on NTS</t>
  </si>
  <si>
    <t xml:space="preserve">MINOVA SA           </t>
  </si>
  <si>
    <t xml:space="preserve">THEMBISA            </t>
  </si>
  <si>
    <t>13/05/2019 12:25:27 ssh DUR POD confirmed on NTS</t>
  </si>
  <si>
    <t>13/05/2019 17:33:56 lin PLZ POD confirmed on NTS</t>
  </si>
  <si>
    <t xml:space="preserve">siyabulela          </t>
  </si>
  <si>
    <t>13/05/2019 18:36:40 UAT PLZ POD confirmed on NTS</t>
  </si>
  <si>
    <t xml:space="preserve">HOT PLATINUM        </t>
  </si>
  <si>
    <t xml:space="preserve">AMINA               </t>
  </si>
  <si>
    <t>13/05/2019 15:39:06 jam CPT POD confirmed on NTS</t>
  </si>
  <si>
    <t>13/05/2019 15:09:31 jam CPT POD confirmed on NTS</t>
  </si>
  <si>
    <t>13/05/2019 15:09:42 jam CPT POD confirmed on NTS</t>
  </si>
  <si>
    <t>13/05/2019 17:13:32 NGF CPT POD confirmed on NTS</t>
  </si>
  <si>
    <t xml:space="preserve">Adriaan             </t>
  </si>
  <si>
    <t>13/05/2019 15:23:10 moo PRY POD confirmed on NTS</t>
  </si>
  <si>
    <t>13/05/2019 18:59:29 moo PRY POD confirmed on NTS</t>
  </si>
  <si>
    <t>WILLOWTON OIL   CAKE</t>
  </si>
  <si>
    <t xml:space="preserve">Felicia             </t>
  </si>
  <si>
    <t>13/05/2019 16:13:40 NIS PZB POD confirmed on NTS</t>
  </si>
  <si>
    <t xml:space="preserve">poven               </t>
  </si>
  <si>
    <t>13/05/2019 12:10:51 ssh DUR POD confirmed on NTS</t>
  </si>
  <si>
    <t xml:space="preserve">chantelle           </t>
  </si>
  <si>
    <t>13/05/2019 15:22:58 moo PRY POD confirmed on NTS</t>
  </si>
  <si>
    <t>13/05/2019 16:01:57 NIS PZB POD confirmed on NTS</t>
  </si>
  <si>
    <t>13/05/2019 15:23:04 moo PRY POD confirmed on NTS</t>
  </si>
  <si>
    <t>13/05/2019 11:42:48 ssh DUR POD confirmed on NTS</t>
  </si>
  <si>
    <t>13/05/2019 17:24:14 nks RBG POD confirmed on NTS</t>
  </si>
  <si>
    <t>13/05/2019 15:23:26 moo PRY POD confirmed on NTS</t>
  </si>
  <si>
    <t>NELSPRUIT</t>
  </si>
  <si>
    <t xml:space="preserve">ELECTRO SYSTEMS     </t>
  </si>
  <si>
    <t xml:space="preserve">moffat              </t>
  </si>
  <si>
    <t>13/05/2019 13:10:25 DAK NLP POD confirmed on NTS</t>
  </si>
  <si>
    <t>13/05/2019 17:13:57 NGF CPT POD confirmed on NTS</t>
  </si>
  <si>
    <t xml:space="preserve">sam williams        </t>
  </si>
  <si>
    <t>13/05/2019 16:42:40 jam CPT POD confirmed on NTS</t>
  </si>
  <si>
    <t>13/05/2019 18:13:27 jam CPT POD confirmed on NTS</t>
  </si>
  <si>
    <t>13/05/2019 18:15:05 jam CPT POD confirmed on NTS</t>
  </si>
  <si>
    <t>13/05/2019 18:13:44 jam CPT POD confirmed on NTS</t>
  </si>
  <si>
    <t>13/05/2019 18:12:59 jam CPT POD confirmed on NTS</t>
  </si>
  <si>
    <t>13/05/2019 18:14:27 jam CPT POD confirmed on NTS</t>
  </si>
  <si>
    <t xml:space="preserve">John                </t>
  </si>
  <si>
    <t>CONSOLIDATED WIRE IN</t>
  </si>
  <si>
    <t xml:space="preserve">Jimmy               </t>
  </si>
  <si>
    <t xml:space="preserve">comfort             </t>
  </si>
  <si>
    <t>13/05/2019 16:36:01 NGF CPT POD confirmed on NTS</t>
  </si>
  <si>
    <t>MACADAMS INTERNATION</t>
  </si>
  <si>
    <t xml:space="preserve">LUZUKO              </t>
  </si>
  <si>
    <t>13/05/2019 19:56:17 NGF CPT POD confirmed on NTS</t>
  </si>
  <si>
    <t>13/05/2019 18:08:34 NGF CPT POD confirmed on NTS</t>
  </si>
  <si>
    <t>SEECOR BLOW MOULDERS</t>
  </si>
  <si>
    <t xml:space="preserve">C BOTHA             </t>
  </si>
  <si>
    <t>13/05/2019 19:02:28 NGF CPT POD confirmed on NTS</t>
  </si>
  <si>
    <t>15/05/2019 09:38:31 NGF CPT POD confirmed on NTS</t>
  </si>
  <si>
    <t>13/05/2019 17:13:52 NGF CPT POD confirmed on NTS</t>
  </si>
  <si>
    <t>13/05/2019 17:13:49 NGF CPT POD confirmed on NTS</t>
  </si>
  <si>
    <t>13/05/2019 18:07:39 NGF CPT POD confirmed on NTS</t>
  </si>
  <si>
    <t>13/05/2019 16:13:28 NGF CPT POD confirmed on NTS</t>
  </si>
  <si>
    <t>13/05/2019 21:43:16 seb GRJ POD confirmed on NTS</t>
  </si>
  <si>
    <t xml:space="preserve">JASMINE             </t>
  </si>
  <si>
    <t>13/05/2019 18:44:19 jam CPT POD confirmed on NTS</t>
  </si>
  <si>
    <t>13/05/2019 16:41:01 jam CPT POD confirmed on NTS</t>
  </si>
  <si>
    <t>13/05/2019 17:12:22 jam CPT POD confirmed on NTS</t>
  </si>
  <si>
    <t>13/05/2019 15:10:32 jam CPT POD confirmed on NTS</t>
  </si>
  <si>
    <t>13/05/2019 18:59:16 moo PRY POD confirmed on NTS</t>
  </si>
  <si>
    <t>13/05/2019 17:12:13 jam CPT POD confirmed on NTS</t>
  </si>
  <si>
    <t xml:space="preserve">g drule             </t>
  </si>
  <si>
    <t>CTP WEB PRINTERS JOH</t>
  </si>
  <si>
    <t>13/05/2019 18:12:44 jam CPT POD confirmed on NTS</t>
  </si>
  <si>
    <t>13/05/2019 17:13:36 NGF CPT POD confirmed on NTS</t>
  </si>
  <si>
    <t xml:space="preserve">Paul                </t>
  </si>
  <si>
    <t>13/05/2019 17:44:46 moo PRY POD confirmed on NTS</t>
  </si>
  <si>
    <t>13/05/2019 17:14:07 NGF CPT POD confirmed on NTS</t>
  </si>
  <si>
    <t>13/05/2019 15:50:28 moo PRY POD confirmed on NTS</t>
  </si>
  <si>
    <t>13/05/2019 15:23:31 moo PRY POD confirmed on NTS</t>
  </si>
  <si>
    <t>13/05/2019 17:32:57 lin PLZ POD confirmed on NTS</t>
  </si>
  <si>
    <t>13/05/2019 12:10:58 ssh DUR POD confirmed on NTS</t>
  </si>
  <si>
    <t xml:space="preserve">kagiso              </t>
  </si>
  <si>
    <t>13/05/2019 15:13:38 moo PRY POD confirmed on NTS</t>
  </si>
  <si>
    <t xml:space="preserve">UNILEVER SA PTY LTD </t>
  </si>
  <si>
    <t xml:space="preserve">nikesh              </t>
  </si>
  <si>
    <t>13/05/2019 14:39:56 ssh DUR POD confirmed on NTS</t>
  </si>
  <si>
    <t>13/05/2019 11:50:23 ssh DUR POD confirmed on NTS</t>
  </si>
  <si>
    <t>13/05/2019 12:11:17 ssh DUR POD confirmed on NTS</t>
  </si>
  <si>
    <t>13/05/2019 21:53:24 seb GRJ POD confirmed on NTS</t>
  </si>
  <si>
    <t>13/05/2019 17:32:56 blm PRY POD confirmed on NTS</t>
  </si>
  <si>
    <t>14/05/2019 10:06:28 MEC PZB Unpacked at branch</t>
  </si>
  <si>
    <t xml:space="preserve">ranjith             </t>
  </si>
  <si>
    <t>13/05/2019 12:11:42 ssh DUR POD confirmed on NTS</t>
  </si>
  <si>
    <t>13/05/2019 18:14:43 jam CPT POD confirmed on NTS</t>
  </si>
  <si>
    <t>UNIPLATE GROUP (PTY)</t>
  </si>
  <si>
    <t xml:space="preserve">carlington          </t>
  </si>
  <si>
    <t>13/05/2019 15:12:52 moo PRY POD confirmed on NTS</t>
  </si>
  <si>
    <t>13/05/2019 12:25:53 ssh DUR POD confirmed on NTS</t>
  </si>
  <si>
    <t xml:space="preserve">MBALI               </t>
  </si>
  <si>
    <t>13/05/2019 15:53:34 NIS PZB POD confirmed on NTS</t>
  </si>
  <si>
    <t>16/05/2019 11:20:31 NGF CPT POD confirmed on NTS</t>
  </si>
  <si>
    <t>13/05/2019 15:11:04 jam CPT POD confirmed on NTS</t>
  </si>
  <si>
    <t>13/05/2019 11:49:45 ssh DUR POD confirmed on NTS</t>
  </si>
  <si>
    <t>SENEKAL</t>
  </si>
  <si>
    <t>MULTICUP SOLUTION AD</t>
  </si>
  <si>
    <t xml:space="preserve">VALERIE             </t>
  </si>
  <si>
    <t>13/05/2019 16:41:17 IRE BEH POD confirmed on NTS</t>
  </si>
  <si>
    <t>13/05/2019 17:22:10 jam CPT POD confirmed on NTS</t>
  </si>
  <si>
    <t xml:space="preserve">FRED                </t>
  </si>
  <si>
    <t>13/05/2019 11:58:52 ssh DUR POD confirmed on NTS</t>
  </si>
  <si>
    <t>13/05/2019 18:59:43 moo PRY POD confirmed on NTS</t>
  </si>
  <si>
    <t>13/05/2019 15:23:21 moo PRY POD confirmed on NTS</t>
  </si>
  <si>
    <t>13/05/2019 17:34:49 jam CPT POD confirmed on NTS</t>
  </si>
  <si>
    <t xml:space="preserve">SCM NDT             </t>
  </si>
  <si>
    <t xml:space="preserve">Alano               </t>
  </si>
  <si>
    <t>13/05/2019 14:35:31 NLG PLZ POD confirmed on NTS</t>
  </si>
  <si>
    <t>SATURDAY DELIVE</t>
  </si>
  <si>
    <t>13/05/2019 14:35:10 NLG PLZ POD confirmed on NTS</t>
  </si>
  <si>
    <t>SATUDAY DELIVER</t>
  </si>
  <si>
    <t xml:space="preserve">TONY           </t>
  </si>
  <si>
    <t>13/05/2019 15:07:58 jam CPT POD confirmed on NTS</t>
  </si>
  <si>
    <t xml:space="preserve">skye                </t>
  </si>
  <si>
    <t>13/05/2019 11:54:51 ssh DUR POD confirmed on NTS</t>
  </si>
  <si>
    <t>13/05/2019 18:24:21 UAT PLZ POD confirmed on NTS</t>
  </si>
  <si>
    <t>14/05/2019 20:12:42 mmd JNX POD confirmed on NTS</t>
  </si>
  <si>
    <t>PRIDE MILLING CO PTY</t>
  </si>
  <si>
    <t xml:space="preserve">Marlene             </t>
  </si>
  <si>
    <t xml:space="preserve">sash                </t>
  </si>
  <si>
    <t xml:space="preserve">LABIUS              </t>
  </si>
  <si>
    <t xml:space="preserve">HILLARY             </t>
  </si>
  <si>
    <t>EIGER ENGENEERING (P</t>
  </si>
  <si>
    <t xml:space="preserve">eleanah             </t>
  </si>
  <si>
    <t xml:space="preserve">POWER WORKS         </t>
  </si>
  <si>
    <t xml:space="preserve">jay                 </t>
  </si>
  <si>
    <t xml:space="preserve">january             </t>
  </si>
  <si>
    <t xml:space="preserve">MAYO DAIRY PTY LTD  </t>
  </si>
  <si>
    <t>14/05/2019 15:47:00 TTS JNX IH/NAB data captured</t>
  </si>
  <si>
    <t>SIQALO FOODS (PTY)LT</t>
  </si>
  <si>
    <t xml:space="preserve">bemmanuel           </t>
  </si>
  <si>
    <t xml:space="preserve">AFRISAM SA          </t>
  </si>
  <si>
    <t xml:space="preserve">khathu              </t>
  </si>
  <si>
    <t xml:space="preserve">SUNETH              </t>
  </si>
  <si>
    <t xml:space="preserve">DORMAS              </t>
  </si>
  <si>
    <t xml:space="preserve">VUSI                </t>
  </si>
  <si>
    <t xml:space="preserve">BEYTEL              </t>
  </si>
  <si>
    <t xml:space="preserve">robby               </t>
  </si>
  <si>
    <t>14/05/2019 17:51:53 TES JNX POD confirmed on NTS</t>
  </si>
  <si>
    <t xml:space="preserve">Cassey              </t>
  </si>
  <si>
    <t xml:space="preserve">Daphny              </t>
  </si>
  <si>
    <t xml:space="preserve">SPIRAX SARCO SA     </t>
  </si>
  <si>
    <t xml:space="preserve">JOSEPH              </t>
  </si>
  <si>
    <t xml:space="preserve">GAYATRI PAPER MILLS </t>
  </si>
  <si>
    <t xml:space="preserve">bright              </t>
  </si>
  <si>
    <t xml:space="preserve">JNX1905320581  </t>
  </si>
  <si>
    <t>14/05/2019 20:25:13 mmd JNX POD confirmed on NTS</t>
  </si>
  <si>
    <t>15/05/2019 16:31:24 jam CPT POD confirmed on NTS</t>
  </si>
  <si>
    <t xml:space="preserve">PREMIER FOODS (PTY) </t>
  </si>
  <si>
    <t xml:space="preserve">Agatha              </t>
  </si>
  <si>
    <t>14/05/2019 15:46:59 TTS JNX IH/NAB data captured</t>
  </si>
  <si>
    <t xml:space="preserve">HENDOK DISTRIBUTION </t>
  </si>
  <si>
    <t xml:space="preserve">Deon                </t>
  </si>
  <si>
    <t xml:space="preserve">kosta               </t>
  </si>
  <si>
    <t xml:space="preserve">UMFOLOZI TVET       </t>
  </si>
  <si>
    <t xml:space="preserve">sihle               </t>
  </si>
  <si>
    <t>14/05/2019 16:50:00 mel RCB POD confirmed on NTS</t>
  </si>
  <si>
    <t xml:space="preserve">Elisha              </t>
  </si>
  <si>
    <t>FELTEX AUTOMOTIVE DI</t>
  </si>
  <si>
    <t xml:space="preserve">Vitesh              </t>
  </si>
  <si>
    <t>AMANDLA TOOLS INDUST</t>
  </si>
  <si>
    <t xml:space="preserve">len                 </t>
  </si>
  <si>
    <t xml:space="preserve">NOMA                </t>
  </si>
  <si>
    <t xml:space="preserve">Lennon              </t>
  </si>
  <si>
    <t xml:space="preserve">jamie               </t>
  </si>
  <si>
    <t>14/05/2019 17:27:38 SSH DUR POD confirmed on NTS</t>
  </si>
  <si>
    <t>14/05/2019 16:50:15 mel RCB POD confirmed on NTS</t>
  </si>
  <si>
    <t xml:space="preserve">LINDANI             </t>
  </si>
  <si>
    <t>14/05/2019 17:37:09 SSH DUR POD confirmed on NTS</t>
  </si>
  <si>
    <t xml:space="preserve">MAKHOSI             </t>
  </si>
  <si>
    <t xml:space="preserve">SHORT SUPPLY   </t>
  </si>
  <si>
    <t>14/05/2019 15:47:01 TTS JNX IH/NAB data captured</t>
  </si>
  <si>
    <t>BEIR SAFETY FOOTWEAR</t>
  </si>
  <si>
    <t xml:space="preserve">R S SARDA           </t>
  </si>
  <si>
    <t xml:space="preserve">kiven               </t>
  </si>
  <si>
    <t xml:space="preserve">Samkelo             </t>
  </si>
  <si>
    <t xml:space="preserve">ERIC                </t>
  </si>
  <si>
    <t>14/05/2019 15:57:15 UAT PLZ POD confirmed on NTS</t>
  </si>
  <si>
    <t>14/05/2019 15:46:58 TTS JNX IH/NAB data captured</t>
  </si>
  <si>
    <t xml:space="preserve">Vernon              </t>
  </si>
  <si>
    <t>14/05/2019 16:51:06 AVW ELS POD confirmed on NTS</t>
  </si>
  <si>
    <t>14/05/2019 16:50:54 AVW ELS POD confirmed on NTS</t>
  </si>
  <si>
    <t>JOHNSON CONTROL AUTO</t>
  </si>
  <si>
    <t xml:space="preserve">hlumela             </t>
  </si>
  <si>
    <t>QUEENSTOWN</t>
  </si>
  <si>
    <t>10::0</t>
  </si>
  <si>
    <t xml:space="preserve">Jenha               </t>
  </si>
  <si>
    <t>14/05/2019 22:51:31 TTS ELS Delivered to client</t>
  </si>
  <si>
    <t>THE PETROLEUM OL   G</t>
  </si>
  <si>
    <t xml:space="preserve">rector thabo        </t>
  </si>
  <si>
    <t>14/05/2019 21:35:17 seb GRJ POD confirmed on NTS</t>
  </si>
  <si>
    <t xml:space="preserve">GRUPO ANTOLIN (PTY) </t>
  </si>
  <si>
    <t xml:space="preserve">GRUPO ANTOLIN  PTY  </t>
  </si>
  <si>
    <t>14/05/2019 18:19:29 lin PLZ POD confirmed on NTS</t>
  </si>
  <si>
    <t>SCHAEFFLER SOUTH AFR</t>
  </si>
  <si>
    <t xml:space="preserve">zwai                </t>
  </si>
  <si>
    <t>14/05/2019 15:57:32 UAT PLZ POD confirmed on NTS</t>
  </si>
  <si>
    <t>14/05/2019 16:50:39 lin PLZ POD confirmed on NTS</t>
  </si>
  <si>
    <t>14/05/2019 15:58:15 UAT PLZ POD confirmed on NTS</t>
  </si>
  <si>
    <t>SDM MANUFACTURING CC</t>
  </si>
  <si>
    <t xml:space="preserve">keshnee             </t>
  </si>
  <si>
    <t>14/05/2019 15:58:54 UAT PLZ POD confirmed on NTS</t>
  </si>
  <si>
    <t>14/05/2019 15:57:52 UAT PLZ POD confirmed on NTS</t>
  </si>
  <si>
    <t>KENZEL ENGINEERING T</t>
  </si>
  <si>
    <t xml:space="preserve">Peter               </t>
  </si>
  <si>
    <t>14/05/2019 15:58:39 UAT PLZ POD confirmed on NTS</t>
  </si>
  <si>
    <t xml:space="preserve">feziwe              </t>
  </si>
  <si>
    <t xml:space="preserve">WOOL TESTING BUREAU </t>
  </si>
  <si>
    <t xml:space="preserve">frances             </t>
  </si>
  <si>
    <t>14/05/2019 16:39:25 lin PLZ POD confirmed on NTS</t>
  </si>
  <si>
    <t>14/05/2019 16:50:59 lin PLZ POD confirmed on NTS</t>
  </si>
  <si>
    <t>WILLARD BATTERIES (P</t>
  </si>
  <si>
    <t>14/05/2019 15:57:05 UAT PLZ POD confirmed on NTS</t>
  </si>
  <si>
    <t>14/05/2019 16:50:49 lin PLZ POD confirmed on NTS</t>
  </si>
  <si>
    <t xml:space="preserve">RICO                </t>
  </si>
  <si>
    <t>14/05/2019 16:55:21 SYSTEM  POD Upload Android</t>
  </si>
  <si>
    <t>14/05/2019 16:55:14 SYSTEM  POD Upload Android</t>
  </si>
  <si>
    <t xml:space="preserve">MOHAMMED            </t>
  </si>
  <si>
    <t>14/05/2019 15:57:42 UAT PLZ POD confirmed on NTS</t>
  </si>
  <si>
    <t>14/05/2019 16:52:21 lin PLZ POD confirmed on NTS</t>
  </si>
  <si>
    <t>14/05/2019 16:51:17 lin PLZ POD confirmed on NTS</t>
  </si>
  <si>
    <t xml:space="preserve">mark                </t>
  </si>
  <si>
    <t>14/05/2019 18:19:13 lin PLZ POD confirmed on NTS</t>
  </si>
  <si>
    <t>14/05/2019 17:00:15 SYSTEM  POD Upload Android</t>
  </si>
  <si>
    <t>PE HYDRAULIC   PNEUM</t>
  </si>
  <si>
    <t xml:space="preserve">Sachin              </t>
  </si>
  <si>
    <t>14/05/2019 15:58:45 UAT PLZ POD confirmed on NTS</t>
  </si>
  <si>
    <t>14/05/2019 15:58:27 UAT PLZ POD confirmed on NTS</t>
  </si>
  <si>
    <t xml:space="preserve">Nadine              </t>
  </si>
  <si>
    <t>14/05/2019 15:50:42 UAT PLZ POD confirmed on NTS</t>
  </si>
  <si>
    <t>14/05/2019 15:50:34 UAT PLZ POD confirmed on NTS</t>
  </si>
  <si>
    <t>14/05/2019 15:58:03 UAT PLZ POD confirmed on NTS</t>
  </si>
  <si>
    <t xml:space="preserve">Jahid               </t>
  </si>
  <si>
    <t>14/05/2019 16:58:21 NGF CPT POD confirmed on NTS</t>
  </si>
  <si>
    <t>ACK SOLUTIONS PTY LT</t>
  </si>
  <si>
    <t xml:space="preserve">Leanie              </t>
  </si>
  <si>
    <t>14/05/2019 17:32:21 NGF CPT POD confirmed on NTS</t>
  </si>
  <si>
    <t xml:space="preserve">abdurallof          </t>
  </si>
  <si>
    <t>14/05/2019 18:36:58 jam CPT POD confirmed on NTS</t>
  </si>
  <si>
    <t>14/05/2019 19:03:25 jam CPT POD confirmed on NTS</t>
  </si>
  <si>
    <t>14/05/2019 16:31:29 NGF CPT POD confirmed on NTS</t>
  </si>
  <si>
    <t>17/05/2019 09:49:47 NGF CPT POD confirmed on NTS</t>
  </si>
  <si>
    <t>PRO PROJECT MACHINER</t>
  </si>
  <si>
    <t>14/05/2019 19:03:41 jam CPT POD confirmed on NTS</t>
  </si>
  <si>
    <t>14/05/2019 15:51:34 jam CPT POD confirmed on NTS</t>
  </si>
  <si>
    <t>14/05/2019 18:37:20 jam CPT POD confirmed on NTS</t>
  </si>
  <si>
    <t>14/05/2019 18:51:07 NGF CPT POD confirmed on NTS</t>
  </si>
  <si>
    <t>14/05/2019 19:03:13 jam CPT POD confirmed on NTS</t>
  </si>
  <si>
    <t>14/05/2019 17:32:27 NGF CPT POD confirmed on NTS</t>
  </si>
  <si>
    <t>14/05/2019 16:58:09 jam CPT POD confirmed on NTS</t>
  </si>
  <si>
    <t xml:space="preserve">terius              </t>
  </si>
  <si>
    <t>14/05/2019 15:50:17 jam CPT POD confirmed on NTS</t>
  </si>
  <si>
    <t>14/05/2019 15:50:28 jam CPT POD confirmed on NTS</t>
  </si>
  <si>
    <t xml:space="preserve">chrystal            </t>
  </si>
  <si>
    <t>14/05/2019 19:04:01 jam CPT POD confirmed on NTS</t>
  </si>
  <si>
    <t>14/05/2019 15:50:50 jam CPT POD confirmed on NTS</t>
  </si>
  <si>
    <t>14/05/2019 18:52:15 NGF CPT POD confirmed on NTS</t>
  </si>
  <si>
    <t xml:space="preserve">RANDALL             </t>
  </si>
  <si>
    <t>16/05/2019 09:20:54 NGF CPT POD confirmed on NTS</t>
  </si>
  <si>
    <t xml:space="preserve">SHORT SUPPLIED </t>
  </si>
  <si>
    <t xml:space="preserve">paul                </t>
  </si>
  <si>
    <t>14/05/2019 17:07:52 jam CPT POD confirmed on NTS</t>
  </si>
  <si>
    <t>SENIOR FLEXONICS (SA</t>
  </si>
  <si>
    <t xml:space="preserve">SONGEZO             </t>
  </si>
  <si>
    <t>14/05/2019 18:51:53 NGF CPT POD confirmed on NTS</t>
  </si>
  <si>
    <t>14/05/2019 17:03:42 NGF CPT POD confirmed on NTS</t>
  </si>
  <si>
    <t>14/05/2019 16:58:13 NGF CPT POD confirmed on NTS</t>
  </si>
  <si>
    <t xml:space="preserve">CORDELIA            </t>
  </si>
  <si>
    <t>14/05/2019 18:51:31 NGF CPT POD confirmed on NTS</t>
  </si>
  <si>
    <t xml:space="preserve">karen               </t>
  </si>
  <si>
    <t>14/05/2019 17:23:54 jam CPT POD confirmed on NTS</t>
  </si>
  <si>
    <t>PROGETTO INTERNATION</t>
  </si>
  <si>
    <t xml:space="preserve">Nico                </t>
  </si>
  <si>
    <t>14/05/2019 18:43:28 NGF CPT POD confirmed on NTS</t>
  </si>
  <si>
    <t>14/05/2019 16:55:36 jam CPT POD confirmed on NTS</t>
  </si>
  <si>
    <t>14/05/2019 17:03:34 NGF CPT POD confirmed on NTS</t>
  </si>
  <si>
    <t>14/05/2019 16:55:57 jam CPT POD confirmed on NTS</t>
  </si>
  <si>
    <t xml:space="preserve">GARY                </t>
  </si>
  <si>
    <t>14/05/2019 17:31:48 NGF CPT POD confirmed on NTS</t>
  </si>
  <si>
    <t>14/05/2019 16:58:28 jam CPT POD confirmed on NTS</t>
  </si>
  <si>
    <t>14/05/2019 15:50:40 jam CPT POD confirmed on NTS</t>
  </si>
  <si>
    <t xml:space="preserve">gary                </t>
  </si>
  <si>
    <t>14/05/2019 17:32:00 NGF CPT POD confirmed on NTS</t>
  </si>
  <si>
    <t>14/05/2019 17:03:27 NGF CPT Delivered to client</t>
  </si>
  <si>
    <t>14/05/2019 17:03:37 NGF CPT POD confirmed on NTS</t>
  </si>
  <si>
    <t>14/05/2019 17:03:30 NGF CPT POD confirmed on NTS</t>
  </si>
  <si>
    <t>MAVERICK ENGINEERING</t>
  </si>
  <si>
    <t xml:space="preserve">J Van Niekerk       </t>
  </si>
  <si>
    <t>14/05/2019 16:25:52 NGF CPT POD confirmed on NTS</t>
  </si>
  <si>
    <t>15/05/2019 19:04:58 jam CPT POD confirmed on NTS</t>
  </si>
  <si>
    <t xml:space="preserve">FELTEX FEHRER       </t>
  </si>
  <si>
    <t xml:space="preserve">Eve Duma            </t>
  </si>
  <si>
    <t>14/05/2019 18:00:46 SSH DUR POD confirmed on NTS</t>
  </si>
  <si>
    <t xml:space="preserve">shane               </t>
  </si>
  <si>
    <t>14/05/2019 18:33:27 SSH DUR POD confirmed on NTS</t>
  </si>
  <si>
    <t>QTN</t>
  </si>
  <si>
    <t xml:space="preserve">JULIA               </t>
  </si>
  <si>
    <t>18/05/2019 16:01:34 TTS PLZ Delivered to client</t>
  </si>
  <si>
    <t xml:space="preserve">Ryno                </t>
  </si>
  <si>
    <t>15/05/2019 17:34:36 lin PLZ POD confirmed on NTS</t>
  </si>
  <si>
    <t xml:space="preserve">Quen                </t>
  </si>
  <si>
    <t>15/05/2019 17:34:49 lin PLZ POD confirmed on NTS</t>
  </si>
  <si>
    <t xml:space="preserve">kevin               </t>
  </si>
  <si>
    <t>14/05/2019 16:53:10 NIS PZB POD confirmed on NTS</t>
  </si>
  <si>
    <t xml:space="preserve">Nqoba               </t>
  </si>
  <si>
    <t>14/05/2019 17:21:08 NIS PZB POD confirmed on NTS</t>
  </si>
  <si>
    <t xml:space="preserve">B Nxele             </t>
  </si>
  <si>
    <t>14/05/2019 17:18:37 NIS PZB POD confirmed on NTS</t>
  </si>
  <si>
    <t>14/05/2019 16:01:11 nis PZB POD confirmed on NTS</t>
  </si>
  <si>
    <t>14/05/2019 17:18:54 NIS PZB POD confirmed on NTS</t>
  </si>
  <si>
    <t>14/05/2019 17:19:18 NIS PZB POD confirmed on NTS</t>
  </si>
  <si>
    <t>14/05/2019 16:52:01 NIS PZB POD confirmed on NTS</t>
  </si>
  <si>
    <t>14/05/2019 17:21:20 NIS PZB POD confirmed on NTS</t>
  </si>
  <si>
    <t>DANIELSKUIL</t>
  </si>
  <si>
    <t>IDWALA INDUSTRIAL HO</t>
  </si>
  <si>
    <t xml:space="preserve">S WAGENAAR          </t>
  </si>
  <si>
    <t>16/05/2019 07:35:36 mib KIM POD confirmed on NTS</t>
  </si>
  <si>
    <t xml:space="preserve">ELENE               </t>
  </si>
  <si>
    <t xml:space="preserve">Carlize             </t>
  </si>
  <si>
    <t xml:space="preserve">DONALD              </t>
  </si>
  <si>
    <t>14/05/2019 16:38:32 teb PRY POD confirmed on NTS</t>
  </si>
  <si>
    <t xml:space="preserve">marenique           </t>
  </si>
  <si>
    <t xml:space="preserve">C JACOBS            </t>
  </si>
  <si>
    <t>14/05/2019 16:38:56 teb PRY POD confirmed on NTS</t>
  </si>
  <si>
    <t xml:space="preserve">SPRAY TECH SA       </t>
  </si>
  <si>
    <t xml:space="preserve">SARAH               </t>
  </si>
  <si>
    <t>14/05/2019 15:55:07 teb PRY POD confirmed on NTS</t>
  </si>
  <si>
    <t>14/05/2019 19:03:22 moo PRY POD confirmed on NTS</t>
  </si>
  <si>
    <t xml:space="preserve">SAMSON              </t>
  </si>
  <si>
    <t>14/05/2019 16:37:36 teb PRY POD confirmed on NTS</t>
  </si>
  <si>
    <t xml:space="preserve">c hithe             </t>
  </si>
  <si>
    <t>15/05/2019 10:05:41 chb WEL Delivered to client</t>
  </si>
  <si>
    <t xml:space="preserve">PLASTIC OMNIUM AUTO </t>
  </si>
  <si>
    <t xml:space="preserve">selby               </t>
  </si>
  <si>
    <t>14/05/2019 17:11:44 nks RBG POD confirmed on NTS</t>
  </si>
  <si>
    <t xml:space="preserve">COCHRANE STEEL      </t>
  </si>
  <si>
    <t xml:space="preserve">DEBBIE              </t>
  </si>
  <si>
    <t xml:space="preserve">ROCHELLE            </t>
  </si>
  <si>
    <t>14/05/2019 16:38:22 teb PRY POD confirmed on NTS</t>
  </si>
  <si>
    <t>ABI BOTTLING PTY LTD</t>
  </si>
  <si>
    <t xml:space="preserve">morape              </t>
  </si>
  <si>
    <t>14/05/2019 17:48:18 moo PRY POD confirmed on NTS</t>
  </si>
  <si>
    <t>14/05/2019 17:48:10 moo PRY POD confirmed on NTS</t>
  </si>
  <si>
    <t>14/05/2019 16:38:12 teb PRY POD confirmed on NTS</t>
  </si>
  <si>
    <t>14/05/2019 16:37:14 teb PRY POD confirmed on NTS</t>
  </si>
  <si>
    <t xml:space="preserve">ANDRE               </t>
  </si>
  <si>
    <t>14/05/2019 16:37:58 teb PRY POD confirmed on NTS</t>
  </si>
  <si>
    <t xml:space="preserve">Joyce               </t>
  </si>
  <si>
    <t xml:space="preserve">NATREF              </t>
  </si>
  <si>
    <t xml:space="preserve">Isaac               </t>
  </si>
  <si>
    <t xml:space="preserve">RAINBOW FARMS       </t>
  </si>
  <si>
    <t xml:space="preserve">THEKO               </t>
  </si>
  <si>
    <t xml:space="preserve">sydney              </t>
  </si>
  <si>
    <t xml:space="preserve">HENDLER   HART      </t>
  </si>
  <si>
    <t xml:space="preserve">johannes            </t>
  </si>
  <si>
    <t xml:space="preserve">RYL                 </t>
  </si>
  <si>
    <t xml:space="preserve">nhlapo              </t>
  </si>
  <si>
    <t>ILLOVO SUGAR LTDB ED</t>
  </si>
  <si>
    <t xml:space="preserve">patricia            </t>
  </si>
  <si>
    <t xml:space="preserve">ruth                </t>
  </si>
  <si>
    <t>CB PNEUMATICS PTY LT</t>
  </si>
  <si>
    <t xml:space="preserve">isaac               </t>
  </si>
  <si>
    <t xml:space="preserve">symod               </t>
  </si>
  <si>
    <t>SCHULLPAK GAUTENG (P</t>
  </si>
  <si>
    <t xml:space="preserve">johan               </t>
  </si>
  <si>
    <t xml:space="preserve">CHEMPLUS CC         </t>
  </si>
  <si>
    <t xml:space="preserve">greg                </t>
  </si>
  <si>
    <t>SOLID WEDGE SERVICES</t>
  </si>
  <si>
    <t xml:space="preserve">lindiwe             </t>
  </si>
  <si>
    <t>14/05/2019 17:53:52 mmd JNX POD confirmed on NTS</t>
  </si>
  <si>
    <t xml:space="preserve">racheal             </t>
  </si>
  <si>
    <t xml:space="preserve">maria               </t>
  </si>
  <si>
    <t xml:space="preserve">nic                 </t>
  </si>
  <si>
    <t>PTG</t>
  </si>
  <si>
    <t>ELLISRAS</t>
  </si>
  <si>
    <t xml:space="preserve">GOOD SMILE DENTIST  </t>
  </si>
  <si>
    <t xml:space="preserve">MONENE              </t>
  </si>
  <si>
    <t>14/05/2019 22:32:11 pem PTG POD confirmed on NTS</t>
  </si>
  <si>
    <t xml:space="preserve">SASOL INFRACHEM     </t>
  </si>
  <si>
    <t xml:space="preserve">Lazarus             </t>
  </si>
  <si>
    <t xml:space="preserve">RTS                 </t>
  </si>
  <si>
    <t>15/05/2019 15:20:57 moo PRY POD confirmed on NTS</t>
  </si>
  <si>
    <t xml:space="preserve">D CARELSE           </t>
  </si>
  <si>
    <t>16/05/2019 15:59:35 NGF CPT POD confirmed on NTS</t>
  </si>
  <si>
    <t>16/05/2019 18:04:24 NGF CPT POD confirmed on NTS</t>
  </si>
  <si>
    <t>15/05/2019 18:33:49 jam CPT POD confirmed on NTS</t>
  </si>
  <si>
    <t xml:space="preserve">JACO                </t>
  </si>
  <si>
    <t>15/05/2019 16:37:10 NGF CPT POD confirmed on NTS</t>
  </si>
  <si>
    <t xml:space="preserve">NDITSHENI           </t>
  </si>
  <si>
    <t xml:space="preserve">evette              </t>
  </si>
  <si>
    <t>16/05/2019 17:26:56 jam CPT POD confirmed on NTS</t>
  </si>
  <si>
    <t xml:space="preserve">mbuti               </t>
  </si>
  <si>
    <t xml:space="preserve">Lungiswa            </t>
  </si>
  <si>
    <t>15/05/2019 17:01:25 UAT PLZ POD confirmed on NTS</t>
  </si>
  <si>
    <t xml:space="preserve">J MAI               </t>
  </si>
  <si>
    <t>15/05/2019 13:09:26 AVW ELS POD confirmed on NTS</t>
  </si>
  <si>
    <t xml:space="preserve">Nelson              </t>
  </si>
  <si>
    <t>15/05/2019 17:27:17 UAT PLZ POD confirmed on NTS</t>
  </si>
  <si>
    <t>15/05/2019 17:01:09 UAT PLZ POD confirmed on NTS</t>
  </si>
  <si>
    <t xml:space="preserve">TRACY               </t>
  </si>
  <si>
    <t>15/05/2019 13:08:47 AVW ELS POD confirmed on NTS</t>
  </si>
  <si>
    <t>22/05/2019 17:20:24 sel PLZ Scanned out of cage/bay</t>
  </si>
  <si>
    <t xml:space="preserve">ryno                </t>
  </si>
  <si>
    <t>15/05/2019 16:17:38 UAT PLZ POD confirmed on NTS</t>
  </si>
  <si>
    <t xml:space="preserve">Ian                 </t>
  </si>
  <si>
    <t>15/05/2019 17:28:57 UAT PLZ POD confirmed on NTS</t>
  </si>
  <si>
    <t xml:space="preserve">denzil              </t>
  </si>
  <si>
    <t>15/05/2019 16:36:50 NGF CPT POD confirmed on NTS</t>
  </si>
  <si>
    <t>16/05/2019 17:12:17 jam CPT POD confirmed on NTS</t>
  </si>
  <si>
    <t xml:space="preserve">DANDRE              </t>
  </si>
  <si>
    <t>17/05/2019 09:50:36 NGF CPT POD confirmed on NTS</t>
  </si>
  <si>
    <t xml:space="preserve">DANRE               </t>
  </si>
  <si>
    <t>17/05/2019 09:46:15 NGF CPT POD confirmed on NTS</t>
  </si>
  <si>
    <t>TENNECO EMISSION CON</t>
  </si>
  <si>
    <t>15/05/2019 17:30:27 UAT PLZ POD confirmed on NTS</t>
  </si>
  <si>
    <t xml:space="preserve">J MAEI              </t>
  </si>
  <si>
    <t>15/05/2019 13:09:39 AVW ELS POD confirmed on NTS</t>
  </si>
  <si>
    <t>LINDE + WIEMANN (PTY</t>
  </si>
  <si>
    <t>15/05/2019 13:09:48 AVW ELS POD confirmed on NTS</t>
  </si>
  <si>
    <t>15/05/2019 15:22:02 moo PRY POD confirmed on NTS</t>
  </si>
  <si>
    <t>15/05/2019 19:28:54 amt JNX POD confirmed on NTS</t>
  </si>
  <si>
    <t xml:space="preserve">SIG                 </t>
  </si>
  <si>
    <t xml:space="preserve">beytel              </t>
  </si>
  <si>
    <t>15/05/2019 17:41:52 mmd JNX POD confirmed on NTS</t>
  </si>
  <si>
    <t xml:space="preserve">BRANDON             </t>
  </si>
  <si>
    <t xml:space="preserve">Nelly               </t>
  </si>
  <si>
    <t>15/05/2019 17:57:28 let JNX POD confirmed on NTS</t>
  </si>
  <si>
    <t>15/05/2019 15:21:08 moo PRY POD confirmed on NTS</t>
  </si>
  <si>
    <t>KLEINBOS</t>
  </si>
  <si>
    <t>SWARTLAND BOUDIENSTE</t>
  </si>
  <si>
    <t>14::1</t>
  </si>
  <si>
    <t>16/05/2019 18:56:34 TTS PLZ Delivered to client</t>
  </si>
  <si>
    <t>15/05/2019 16:21:25 UAT PLZ POD confirmed on NTS</t>
  </si>
  <si>
    <t>15/05/2019 17:08:45 lin PLZ POD confirmed on NTS</t>
  </si>
  <si>
    <t>CHEMLINK SA (PTY) LT</t>
  </si>
  <si>
    <t xml:space="preserve">Jeandre             </t>
  </si>
  <si>
    <t>15/05/2019 14:37:17 ssh DUR POD confirmed on NTS</t>
  </si>
  <si>
    <t xml:space="preserve">R SARDHA            </t>
  </si>
  <si>
    <t>15/05/2019 12:47:00 ssh DUR POD confirmed on NTS</t>
  </si>
  <si>
    <t>UMGENI WATER PINETOW</t>
  </si>
  <si>
    <t xml:space="preserve">edwin               </t>
  </si>
  <si>
    <t>15/05/2019 12:57:38 ssh DUR POD confirmed on NTS</t>
  </si>
  <si>
    <t>15/05/2019 13:40:58 ssh DUR POD confirmed on NTS</t>
  </si>
  <si>
    <t xml:space="preserve">CONSOL GLASS        </t>
  </si>
  <si>
    <t xml:space="preserve">dimakatso           </t>
  </si>
  <si>
    <t>15/05/2019 17:33:31 bem JNX POD confirmed on NTS</t>
  </si>
  <si>
    <t xml:space="preserve">Pooblal             </t>
  </si>
  <si>
    <t>15/05/2019 12:47:33 ssh DUR POD confirmed on NTS</t>
  </si>
  <si>
    <t>15/05/2019 12:12:33 ssh DUR POD confirmed on NTS</t>
  </si>
  <si>
    <t xml:space="preserve">RUSSEL              </t>
  </si>
  <si>
    <t>15/05/2019 13:09:00 AVW ELS POD confirmed on NTS</t>
  </si>
  <si>
    <t xml:space="preserve">Grant               </t>
  </si>
  <si>
    <t>15/05/2019 12:48:20 ssh DUR POD confirmed on NTS</t>
  </si>
  <si>
    <t xml:space="preserve">Sharla              </t>
  </si>
  <si>
    <t>15/05/2019 12:47:13 ssh DUR POD confirmed on NTS</t>
  </si>
  <si>
    <t>15/05/2019 17:08:36 lin PLZ POD confirmed on NTS</t>
  </si>
  <si>
    <t>15/05/2019 14:58:59 jam CPT POD confirmed on NTS</t>
  </si>
  <si>
    <t xml:space="preserve">Bheki               </t>
  </si>
  <si>
    <t>15/05/2019 14:36:43 ssh DUR POD confirmed on NTS</t>
  </si>
  <si>
    <t xml:space="preserve">ABI DIV OF SAB LTD  </t>
  </si>
  <si>
    <t xml:space="preserve">deons               </t>
  </si>
  <si>
    <t>15/05/2019 12:29:00 ssh DUR POD confirmed on NTS</t>
  </si>
  <si>
    <t>15/05/2019 12:47:27 ssh DUR POD confirmed on NTS</t>
  </si>
  <si>
    <t>15/05/2019 18:16:25 phr NEW POD confirmed on NTS</t>
  </si>
  <si>
    <t>15/05/2019 19:07:16 NGF CPT POD confirmed on NTS</t>
  </si>
  <si>
    <t>15/05/2019 12:30:54 ssh DUR POD confirmed on NTS</t>
  </si>
  <si>
    <t>15/05/2019 13:30:05 NIS PZB POD confirmed on NTS</t>
  </si>
  <si>
    <t xml:space="preserve">v posthumous        </t>
  </si>
  <si>
    <t>15/05/2019 14:33:34 ssh DUR POD confirmed on NTS</t>
  </si>
  <si>
    <t xml:space="preserve">yanelisa            </t>
  </si>
  <si>
    <t>15/05/2019 16:56:49 avw ELS POD confirmed on NTS</t>
  </si>
  <si>
    <t xml:space="preserve">Mariska             </t>
  </si>
  <si>
    <t>15/05/2019 19:04:13 NGF CPT POD confirmed on NTS</t>
  </si>
  <si>
    <t>15/05/2019 14:58:25 jam CPT POD confirmed on NTS</t>
  </si>
  <si>
    <t xml:space="preserve">REGGIE              </t>
  </si>
  <si>
    <t>15/05/2019 16:36:17 NGF CPT POD confirmed on NTS</t>
  </si>
  <si>
    <t xml:space="preserve">pravesh             </t>
  </si>
  <si>
    <t>15/05/2019 16:22:48 ssh DUR POD confirmed on NTS</t>
  </si>
  <si>
    <t>15/05/2019 15:21:53 moo PRY POD confirmed on NTS</t>
  </si>
  <si>
    <t>15/05/2019 15:58:39 blm PRY POD confirmed on NTS</t>
  </si>
  <si>
    <t>15/05/2019 15:21:03 moo PRY POD confirmed on NTS</t>
  </si>
  <si>
    <t>ALBANY BAKERIES A DI</t>
  </si>
  <si>
    <t xml:space="preserve">tharick             </t>
  </si>
  <si>
    <t>15/05/2019 14:37:24 ssh DUR POD confirmed on NTS</t>
  </si>
  <si>
    <t xml:space="preserve">THE SIMBA GROUP     </t>
  </si>
  <si>
    <t xml:space="preserve">randi               </t>
  </si>
  <si>
    <t>15/05/2019 13:47:48 ssh DUR POD confirmed on NTS</t>
  </si>
  <si>
    <t>15/05/2019 14:37:09 ssh DUR POD confirmed on NTS</t>
  </si>
  <si>
    <t xml:space="preserve">elmare              </t>
  </si>
  <si>
    <t>15/05/2019 17:01:04 moo PRY POD confirmed on NTS</t>
  </si>
  <si>
    <t xml:space="preserve">ANNETTE             </t>
  </si>
  <si>
    <t>15/05/2019 14:51:02 nks RBG POD confirmed on NTS</t>
  </si>
  <si>
    <t>15/05/2019 17:13:00 teb PRY POD confirmed on NTS</t>
  </si>
  <si>
    <t>VERTEX AUTOMATION PT</t>
  </si>
  <si>
    <t xml:space="preserve">eugene              </t>
  </si>
  <si>
    <t>15/05/2019 15:34:50 blm PRY POD confirmed on NTS</t>
  </si>
  <si>
    <t xml:space="preserve">PAUL                </t>
  </si>
  <si>
    <t>15/05/2019 18:12:47 moo PRY POD confirmed on NTS</t>
  </si>
  <si>
    <t xml:space="preserve">steve               </t>
  </si>
  <si>
    <t>15/05/2019 15:32:22 blm PRY POD confirmed on NTS</t>
  </si>
  <si>
    <t xml:space="preserve">LION MATCH PRODUCTS </t>
  </si>
  <si>
    <t xml:space="preserve">KARABO              </t>
  </si>
  <si>
    <t>15/05/2019 17:13:43 teb PRY POD confirmed on NTS</t>
  </si>
  <si>
    <t>15/05/2019 17:13:11 teb PRY POD confirmed on NTS</t>
  </si>
  <si>
    <t xml:space="preserve">ZOLA                </t>
  </si>
  <si>
    <t>15/05/2019 17:12:27 teb PRY POD confirmed on NTS</t>
  </si>
  <si>
    <t>15/05/2019 17:13:33 teb PRY POD confirmed on NTS</t>
  </si>
  <si>
    <t>15/05/2019 13:10:08 AVW ELS POD confirmed on NTS</t>
  </si>
  <si>
    <t>15/05/2019 17:30:09 UAT PLZ POD confirmed on NTS</t>
  </si>
  <si>
    <t xml:space="preserve">NOMTHANDA           </t>
  </si>
  <si>
    <t>15/05/2019 17:28:25 NIS PZB POD confirmed on NTS</t>
  </si>
  <si>
    <t xml:space="preserve">travor              </t>
  </si>
  <si>
    <t>15/05/2019 18:17:04 lin PLZ POD confirmed on NTS</t>
  </si>
  <si>
    <t xml:space="preserve">DAVID               </t>
  </si>
  <si>
    <t>15/05/2019 18:00:17 SYSTEM  POD Upload Android</t>
  </si>
  <si>
    <t xml:space="preserve">J AY                </t>
  </si>
  <si>
    <t>15/05/2019 13:09:12 AVW ELS POD confirmed on NTS</t>
  </si>
  <si>
    <t xml:space="preserve">yolamde             </t>
  </si>
  <si>
    <t>15/05/2019 16:17:45 UAT PLZ POD confirmed on NTS</t>
  </si>
  <si>
    <t>15/05/2019 13:09:57 AVW ELS POD confirmed on NTS</t>
  </si>
  <si>
    <t>15/05/2019 13:52:02 ssh DUR POD confirmed on NTS</t>
  </si>
  <si>
    <t>15/05/2019 17:08:12 lin PLZ POD confirmed on NTS</t>
  </si>
  <si>
    <t>15/05/2019 12:48:36 ssh DUR POD confirmed on NTS</t>
  </si>
  <si>
    <t>15/05/2019 17:12:50 teb PRY POD confirmed on NTS</t>
  </si>
  <si>
    <t xml:space="preserve">G WILLIAMS          </t>
  </si>
  <si>
    <t>15/05/2019 17:14:12 teb PRY POD confirmed on NTS</t>
  </si>
  <si>
    <t>15/05/2019 17:15:00 teb PRY POD confirmed on NTS</t>
  </si>
  <si>
    <t>15/05/2019 17:51:45 mmd JNX POD confirmed on NTS</t>
  </si>
  <si>
    <t xml:space="preserve">SMT INDUSTRIAL CC   </t>
  </si>
  <si>
    <t xml:space="preserve">sylvester           </t>
  </si>
  <si>
    <t>15/05/2019 17:15:08 moo PRY POD confirmed on NTS</t>
  </si>
  <si>
    <t xml:space="preserve">phillip             </t>
  </si>
  <si>
    <t>15/05/2019 17:34:22 bem JNX POD confirmed on NTS</t>
  </si>
  <si>
    <t>15/05/2019 17:01:03 UAT PLZ POD confirmed on NTS</t>
  </si>
  <si>
    <t>NORTHWEST BUS AND CO</t>
  </si>
  <si>
    <t xml:space="preserve">zak                 </t>
  </si>
  <si>
    <t>15/05/2019 16:32:46 moo PRY POD confirmed on NTS</t>
  </si>
  <si>
    <t>15/05/2019 14:36:51 ssh DUR POD confirmed on NTS</t>
  </si>
  <si>
    <t xml:space="preserve">sbahe               </t>
  </si>
  <si>
    <t>15/05/2019 12:57:49 ssh DUR POD confirmed on NTS</t>
  </si>
  <si>
    <t>KITTING AND ALLIED S</t>
  </si>
  <si>
    <t xml:space="preserve">REFILWE             </t>
  </si>
  <si>
    <t>15/05/2019 16:56:26 NGF CPT POD confirmed on NTS</t>
  </si>
  <si>
    <t xml:space="preserve">ADELL               </t>
  </si>
  <si>
    <t>16/05/2019 17:50:24 NGF CPT POD confirmed on NTS</t>
  </si>
  <si>
    <t>15/05/2019 16:33:23 jam CPT POD confirmed on NTS</t>
  </si>
  <si>
    <t>15/05/2019 16:33:35 jam CPT POD confirmed on NTS</t>
  </si>
  <si>
    <t>15/05/2019 17:13:48 jam CPT POD confirmed on NTS</t>
  </si>
  <si>
    <t>15/05/2019 17:14:40 jam CPT POD confirmed on NTS</t>
  </si>
  <si>
    <t xml:space="preserve">CHANTEL             </t>
  </si>
  <si>
    <t>15/05/2019 16:50:01 NGF CPT POD confirmed on NTS</t>
  </si>
  <si>
    <t>15/05/2019 19:29:56 NGF CPT POD confirmed on NTS</t>
  </si>
  <si>
    <t>15/05/2019 17:26:55 UAT PLZ POD confirmed on NTS</t>
  </si>
  <si>
    <t>15/05/2019 12:48:50 ssh DUR POD confirmed on NTS</t>
  </si>
  <si>
    <t xml:space="preserve">ISAIAH              </t>
  </si>
  <si>
    <t>16/05/2019 17:52:04 let JNX POD confirmed on NTS</t>
  </si>
  <si>
    <t>15/05/2019 17:08:57 lin PLZ POD confirmed on NTS</t>
  </si>
  <si>
    <t>15/05/2019 17:15:17 teb PRY POD confirmed on NTS</t>
  </si>
  <si>
    <t>15/05/2019 17:01:15 UAT PLZ POD confirmed on NTS</t>
  </si>
  <si>
    <t>15/05/2019 16:56:58 avw ELS POD confirmed on NTS</t>
  </si>
  <si>
    <t>15/05/2019 17:13:22 teb PRY POD confirmed on NTS</t>
  </si>
  <si>
    <t>15/05/2019 12:12:20 ssh DUR POD confirmed on NTS</t>
  </si>
  <si>
    <t xml:space="preserve">PAULOS              </t>
  </si>
  <si>
    <t>15/05/2019 13:14:23 AVW ELS POD confirmed on NTS</t>
  </si>
  <si>
    <t>15/05/2019 13:14:16 AVW ELS POD confirmed on NTS</t>
  </si>
  <si>
    <t>15/05/2019 17:27:01 UAT PLZ POD confirmed on NTS</t>
  </si>
  <si>
    <t>FAIR PLASTICS PACKAG</t>
  </si>
  <si>
    <t xml:space="preserve">sibulele            </t>
  </si>
  <si>
    <t>15/05/2019 16:35:09 jam CPT POD confirmed on NTS</t>
  </si>
  <si>
    <t xml:space="preserve">S LUTZELLER         </t>
  </si>
  <si>
    <t>15/05/2019 16:33:19 NGF CPT POD confirmed on NTS</t>
  </si>
  <si>
    <t>MISTER SWEET PTY LTD</t>
  </si>
  <si>
    <t>15/05/2019 17:34:48 bem JNX POD confirmed on NTS</t>
  </si>
  <si>
    <t>15/05/2019 14:57:55 jam CPT POD confirmed on NTS</t>
  </si>
  <si>
    <t>ACTUM INDUSTRIAL PTY</t>
  </si>
  <si>
    <t xml:space="preserve">hazekiel            </t>
  </si>
  <si>
    <t>15/05/2019 16:34:06 jam CPT POD confirmed on NTS</t>
  </si>
  <si>
    <t>15/05/2019 12:12:39 ssh DUR POD confirmed on NTS</t>
  </si>
  <si>
    <t>15/05/2019 16:48:57 NIS PZB POD confirmed on NTS</t>
  </si>
  <si>
    <t xml:space="preserve">SYLVESTER           </t>
  </si>
  <si>
    <t xml:space="preserve">MATSAM SUPPLIES CC  </t>
  </si>
  <si>
    <t>15/05/2019 15:58:19 blm PRY POD confirmed on NTS</t>
  </si>
  <si>
    <t xml:space="preserve">BRIDGE PROCUREMENT  </t>
  </si>
  <si>
    <t xml:space="preserve">naledi              </t>
  </si>
  <si>
    <t xml:space="preserve">APPLE CONTROLS CC T </t>
  </si>
  <si>
    <t xml:space="preserve">Henning             </t>
  </si>
  <si>
    <t>15/05/2019 15:18:55 nks RBG POD confirmed on NTS</t>
  </si>
  <si>
    <t>ADCOCK INGRAM HEALTH</t>
  </si>
  <si>
    <t xml:space="preserve">ELISHA              </t>
  </si>
  <si>
    <t>15/05/2019 14:44:21 NGF CPT POD confirmed on NTS</t>
  </si>
  <si>
    <t>15/05/2019 14:58:10 jam CPT POD confirmed on NTS</t>
  </si>
  <si>
    <t xml:space="preserve">bronwon             </t>
  </si>
  <si>
    <t>15/05/2019 18:36:38 jam CPT POD confirmed on NTS</t>
  </si>
  <si>
    <t>15/05/2019 14:36:57 ssh DUR POD confirmed on NTS</t>
  </si>
  <si>
    <t>15/05/2019 16:33:06 jam CPT POD confirmed on NTS</t>
  </si>
  <si>
    <t>15/05/2019 18:34:13 jam CPT POD confirmed on NTS</t>
  </si>
  <si>
    <t xml:space="preserve">belinda             </t>
  </si>
  <si>
    <t>ORKNEY</t>
  </si>
  <si>
    <t>PROCESS INSTRUMENTAT</t>
  </si>
  <si>
    <t xml:space="preserve">daniel              </t>
  </si>
  <si>
    <t>15/05/2019 17:20:55 asm KLD POD confirmed on NTS</t>
  </si>
  <si>
    <t xml:space="preserve">NEOPAK PTY LTD      </t>
  </si>
  <si>
    <t>15/05/2019 13:05:00 ssh DUR POD confirmed on NTS</t>
  </si>
  <si>
    <t xml:space="preserve">RE SEND        </t>
  </si>
  <si>
    <t xml:space="preserve">MPHO                </t>
  </si>
  <si>
    <t xml:space="preserve">quinton             </t>
  </si>
  <si>
    <t xml:space="preserve">ELMAR               </t>
  </si>
  <si>
    <t xml:space="preserve">ZAKHELI             </t>
  </si>
  <si>
    <t xml:space="preserve">musa                </t>
  </si>
  <si>
    <t>DRYTECH INTERNATIONA</t>
  </si>
  <si>
    <t>IMP TECHNICAL SERVIC</t>
  </si>
  <si>
    <t>15/05/2019 17:51:04 mmd JNX POD confirmed on NTS</t>
  </si>
  <si>
    <t>15/05/2019 17:35:10 bem JNX POD confirmed on NTS</t>
  </si>
  <si>
    <t>AM SYSTEMS INTEGRATI</t>
  </si>
  <si>
    <t>MARGATE</t>
  </si>
  <si>
    <t xml:space="preserve">pansy               </t>
  </si>
  <si>
    <t>15/05/2019 18:18:42 ssh DUR Delivered to client</t>
  </si>
  <si>
    <t>O-LINE SUPPORT SYSTE</t>
  </si>
  <si>
    <t>MUDI APPLIEDTECHNOLO</t>
  </si>
  <si>
    <t xml:space="preserve">delvin              </t>
  </si>
  <si>
    <t>15/05/2019 12:58:08 ssh DUR POD confirmed on NTS</t>
  </si>
  <si>
    <t>15/05/2019 18:03:23 ssh DUR POD confirmed on NTS</t>
  </si>
  <si>
    <t xml:space="preserve">Tony                </t>
  </si>
  <si>
    <t>15/05/2019 13:41:42 ssh DUR POD confirmed on NTS</t>
  </si>
  <si>
    <t>15/05/2019 12:57:21 ssh DUR POD confirmed on NTS</t>
  </si>
  <si>
    <t>15/05/2019 12:33:45 ssh DUR POD confirmed on NTS</t>
  </si>
  <si>
    <t xml:space="preserve">OUPA                </t>
  </si>
  <si>
    <t>15/05/2019 17:11:48 NIS PZB POD confirmed on NTS</t>
  </si>
  <si>
    <t>ILLOVO SUGAR LTD-UMZ</t>
  </si>
  <si>
    <t>15/05/2019 16:25:07 ssh DUR POD confirmed on NTS</t>
  </si>
  <si>
    <t>15/05/2019 13:41:10 ssh DUR POD confirmed on NTS</t>
  </si>
  <si>
    <t>15/05/2019 17:00:56 NIS PZB POD confirmed on NTS</t>
  </si>
  <si>
    <t xml:space="preserve">Mary Anne           </t>
  </si>
  <si>
    <t>15/05/2019 13:42:49 ssh DUR POD confirmed on NTS</t>
  </si>
  <si>
    <t>15/05/2019 17:00:45 NIS PZB POD confirmed on NTS</t>
  </si>
  <si>
    <t>15/05/2019 12:12:26 ssh DUR POD confirmed on NTS</t>
  </si>
  <si>
    <t xml:space="preserve">Noluthanda          </t>
  </si>
  <si>
    <t>15/05/2019 13:43:07 ssh DUR POD confirmed on NTS</t>
  </si>
  <si>
    <t xml:space="preserve">BELINDA P           </t>
  </si>
  <si>
    <t>MICROMATH TRADING 16</t>
  </si>
  <si>
    <t xml:space="preserve">Leo                 </t>
  </si>
  <si>
    <t>15/05/2019 15:21:15 moo PRY POD confirmed on NTS</t>
  </si>
  <si>
    <t xml:space="preserve">Rowan               </t>
  </si>
  <si>
    <t>15/05/2019 16:31:48 NGF CPT POD confirmed on NTS</t>
  </si>
  <si>
    <t xml:space="preserve">a nel               </t>
  </si>
  <si>
    <t>15/05/2019 18:31:50 jam CPT POD confirmed on NTS</t>
  </si>
  <si>
    <t>15/05/2019 16:31:34 NGF CPT POD confirmed on NTS</t>
  </si>
  <si>
    <t xml:space="preserve">mitesh              </t>
  </si>
  <si>
    <t>15/05/2019 17:33:14 bem JNX POD confirmed on NTS</t>
  </si>
  <si>
    <t xml:space="preserve">BLESSING            </t>
  </si>
  <si>
    <t>15/05/2019 17:12:39 teb PRY POD confirmed on NTS</t>
  </si>
  <si>
    <t>15/05/2019 16:36:10 NGF CPT POD confirmed on NTS</t>
  </si>
  <si>
    <t xml:space="preserve">Anthony             </t>
  </si>
  <si>
    <t>15/05/2019 15:00:01 jam CPT POD confirmed on NTS</t>
  </si>
  <si>
    <t xml:space="preserve">patrick             </t>
  </si>
  <si>
    <t>15/05/2019 16:39:03 UAT PLZ POD confirmed on NTS</t>
  </si>
  <si>
    <t>PLS ENSURE DELI</t>
  </si>
  <si>
    <t>15/05/2019 14:58:43 jam CPT POD confirmed on NTS</t>
  </si>
  <si>
    <t xml:space="preserve">ATELIER SA PTY LTD  </t>
  </si>
  <si>
    <t xml:space="preserve">catherine           </t>
  </si>
  <si>
    <t>15/05/2019 13:14:08 AVW ELS POD confirmed on NTS</t>
  </si>
  <si>
    <t>15/05/2019 13:14:01 AVW ELS POD confirmed on NTS</t>
  </si>
  <si>
    <t xml:space="preserve">stephan             </t>
  </si>
  <si>
    <t xml:space="preserve">ALP AFRICA          </t>
  </si>
  <si>
    <t xml:space="preserve">KHANYISA            </t>
  </si>
  <si>
    <t>15/05/2019 17:14:44 teb PRY POD confirmed on NTS</t>
  </si>
  <si>
    <t>BANDINI CHEESE PTY L</t>
  </si>
  <si>
    <t xml:space="preserve">paulina             </t>
  </si>
  <si>
    <t>15/05/2019 13:05:06 ssh DUR POD confirmed on NTS</t>
  </si>
  <si>
    <t xml:space="preserve">LINDA               </t>
  </si>
  <si>
    <t>OFFSET PRESS SUPPLIE</t>
  </si>
  <si>
    <t xml:space="preserve">Moniqeu             </t>
  </si>
  <si>
    <t>15/05/2019 19:05:56 NGF CPT POD confirmed on NTS</t>
  </si>
  <si>
    <t>17/05/2019 09:50:05 NGF CPT POD confirmed on NTS</t>
  </si>
  <si>
    <t xml:space="preserve">ROXY                </t>
  </si>
  <si>
    <t>15/05/2019 16:18:31 NGF CPT POD confirmed on NTS</t>
  </si>
  <si>
    <t>15/05/2019 15:58:29 blm PRY POD confirmed on NTS</t>
  </si>
  <si>
    <t xml:space="preserve">Niren               </t>
  </si>
  <si>
    <t>15/05/2019 16:49:13 NIS PZB POD confirmed on NTS</t>
  </si>
  <si>
    <t xml:space="preserve">DURR SOUTH AFRICA   </t>
  </si>
  <si>
    <t xml:space="preserve">kadar               </t>
  </si>
  <si>
    <t>15/05/2019 16:51:34 UAT PLZ POD confirmed on NTS</t>
  </si>
  <si>
    <t>15/05/2019 16:33:47 jam CPT POD confirmed on NTS</t>
  </si>
  <si>
    <t>15/05/2019 16:31:55 NGF CPT POD confirmed on NTS</t>
  </si>
  <si>
    <t>CHET CHEMICALS A DIV</t>
  </si>
  <si>
    <t xml:space="preserve">ESTHER              </t>
  </si>
  <si>
    <t xml:space="preserve">BRITTECH            </t>
  </si>
  <si>
    <t xml:space="preserve">Ralie               </t>
  </si>
  <si>
    <t>15/05/2019 16:32:52 moo PRY POD confirmed on NTS</t>
  </si>
  <si>
    <t>15/05/2019 16:34:28 jam CPT POD confirmed on NTS</t>
  </si>
  <si>
    <t>15/05/2019 16:49:30 NIS PZB POD confirmed on NTS</t>
  </si>
  <si>
    <t>15/05/2019 17:08:24 lin PLZ POD confirmed on NTS</t>
  </si>
  <si>
    <t xml:space="preserve">FESTO.              </t>
  </si>
  <si>
    <t xml:space="preserve">festo               </t>
  </si>
  <si>
    <t>PNEUMATIC TANKER EQU</t>
  </si>
  <si>
    <t xml:space="preserve">jannie              </t>
  </si>
  <si>
    <t>COLLECT 1162685</t>
  </si>
  <si>
    <t>FORD MOTORING COMPAN</t>
  </si>
  <si>
    <t xml:space="preserve">mouto               </t>
  </si>
  <si>
    <t>16/05/2019 15:25:17 blm PRY POD confirmed on NTS</t>
  </si>
  <si>
    <t>16/05/2019 22:34:28 seb GRJ POD confirmed on NTS</t>
  </si>
  <si>
    <t xml:space="preserve">STEGEL              </t>
  </si>
  <si>
    <t xml:space="preserve">Mitchell            </t>
  </si>
  <si>
    <t xml:space="preserve">lee                 </t>
  </si>
  <si>
    <t>16/05/2019 17:00:01 jam CPT POD confirmed on NTS</t>
  </si>
  <si>
    <t>ATLANTIS</t>
  </si>
  <si>
    <t xml:space="preserve">ATLANTIS FOUNDRY    </t>
  </si>
  <si>
    <t xml:space="preserve">petersen            </t>
  </si>
  <si>
    <t>16/05/2019 18:44:42 jam CPT POD confirmed on NTS</t>
  </si>
  <si>
    <t xml:space="preserve">SHIREEN             </t>
  </si>
  <si>
    <t xml:space="preserve">elisha              </t>
  </si>
  <si>
    <t>16/05/2019 17:48:34 jam CPT POD confirmed on NTS</t>
  </si>
  <si>
    <t xml:space="preserve">nadine              </t>
  </si>
  <si>
    <t>16/05/2019 16:33:07 UAT PLZ POD confirmed on NTS</t>
  </si>
  <si>
    <t>16/05/2019 12:52:56 AVW ELS POD confirmed on NTS</t>
  </si>
  <si>
    <t>16/05/2019 17:11:00 jam CPT POD confirmed on NTS</t>
  </si>
  <si>
    <t>16/05/2019 18:48:09 lin PLZ POD confirmed on NTS</t>
  </si>
  <si>
    <t xml:space="preserve">linnda              </t>
  </si>
  <si>
    <t>16/05/2019 16:59:34 jam CPT POD confirmed on NTS</t>
  </si>
  <si>
    <t>16/05/2019 12:46:27 AVW ELS POD confirmed on NTS</t>
  </si>
  <si>
    <t>16/05/2019 18:47:07 lin PLZ POD confirmed on NTS</t>
  </si>
  <si>
    <t>16/05/2019 06:35:40 TTS PLZ data sent to 3rd party</t>
  </si>
  <si>
    <t xml:space="preserve">Eric                </t>
  </si>
  <si>
    <t>16/05/2019 17:13:22 UAT PLZ POD confirmed on NTS</t>
  </si>
  <si>
    <t>16/05/2019 17:14:21 UAT PLZ POD confirmed on NTS</t>
  </si>
  <si>
    <t>14::3</t>
  </si>
  <si>
    <t xml:space="preserve">l fourie            </t>
  </si>
  <si>
    <t>16/05/2019 20:56:32 TTS PLZ Delivered to client</t>
  </si>
  <si>
    <t>16/05/2019 17:26:07 jam CPT POD confirmed on NTS</t>
  </si>
  <si>
    <t>16/05/2019 18:58:12 jam CPT POD confirmed on NTS</t>
  </si>
  <si>
    <t>16/05/2019 16:32:53 UAT PLZ POD confirmed on NTS</t>
  </si>
  <si>
    <t xml:space="preserve">Charmain            </t>
  </si>
  <si>
    <t>16/05/2019 18:26:08 UAT PLZ POD confirmed on NTS</t>
  </si>
  <si>
    <t xml:space="preserve">Gavin               </t>
  </si>
  <si>
    <t>16/05/2019 12:53:40 AVW ELS POD confirmed on NTS</t>
  </si>
  <si>
    <t>16/05/2019 18:47:26 lin PLZ POD confirmed on NTS</t>
  </si>
  <si>
    <t>16/05/2019 18:27:02 UAT PLZ POD confirmed on NTS</t>
  </si>
  <si>
    <t>16/05/2019 16:29:22 UAT PLZ POD confirmed on NTS</t>
  </si>
  <si>
    <t>16/05/2019 16:32:47 UAT PLZ POD confirmed on NTS</t>
  </si>
  <si>
    <t>16/05/2019 15:47:35 moo PRY POD confirmed on NTS</t>
  </si>
  <si>
    <t xml:space="preserve">ARTHUR              </t>
  </si>
  <si>
    <t>16/05/2019 17:50:13 NGF CPT POD confirmed on NTS</t>
  </si>
  <si>
    <t xml:space="preserve">R Geduld            </t>
  </si>
  <si>
    <t>16/05/2019 19:24:08 NGF CPT POD confirmed on NTS</t>
  </si>
  <si>
    <t xml:space="preserve">CYBERNATICS         </t>
  </si>
  <si>
    <t>16/05/2019 17:26:39 jam CPT POD confirmed on NTS</t>
  </si>
  <si>
    <t>16/05/2019 17:14:27 UAT PLZ POD confirmed on NTS</t>
  </si>
  <si>
    <t>16/05/2019 15:14:48 NIS PZB POD confirmed on NTS</t>
  </si>
  <si>
    <t>PTA</t>
  </si>
  <si>
    <t>16/05/2019 16:32:40 blm PRY POD confirmed on NTS</t>
  </si>
  <si>
    <t>16/05/2019 16:30:38 blm PRY POD confirmed on NTS</t>
  </si>
  <si>
    <t xml:space="preserve">daphney             </t>
  </si>
  <si>
    <t>16/05/2019 17:11:57 jam CPT POD confirmed on NTS</t>
  </si>
  <si>
    <t>16/05/2019 17:26:28 jam CPT POD confirmed on NTS</t>
  </si>
  <si>
    <t>16/05/2019 16:27:43 teb PRY POD confirmed on NTS</t>
  </si>
  <si>
    <t>PLS SIGN BOTH C</t>
  </si>
  <si>
    <t>16/05/2019 15:15:43 NIS PZB POD confirmed on NTS</t>
  </si>
  <si>
    <t>16/05/2019 12:37:20 ssh DUR POD confirmed on NTS</t>
  </si>
  <si>
    <t xml:space="preserve">Moses               </t>
  </si>
  <si>
    <t>17/05/2019 16:58:43 blm PRY Delivered to client</t>
  </si>
  <si>
    <t xml:space="preserve">kurt                </t>
  </si>
  <si>
    <t>17/05/2019 08:05:15 SYSTEM  POD Upload Android</t>
  </si>
  <si>
    <t xml:space="preserve">CAHRLENE            </t>
  </si>
  <si>
    <t>16/05/2019 16:29:56 NGF CPT POD confirmed on NTS</t>
  </si>
  <si>
    <t xml:space="preserve">AMCOR FLEXIBLE CAPE </t>
  </si>
  <si>
    <t>16/05/2019 17:48:00 jam CPT POD confirmed on NTS</t>
  </si>
  <si>
    <t xml:space="preserve">gerry               </t>
  </si>
  <si>
    <t>16/05/2019 17:22:27 ssh DUR POD confirmed on NTS</t>
  </si>
  <si>
    <t>16/05/2019 15:26:06 blm PRY POD confirmed on NTS</t>
  </si>
  <si>
    <t>16/05/2019 18:29:59 ssh DUR POD confirmed on NTS</t>
  </si>
  <si>
    <t xml:space="preserve">sindiswa            </t>
  </si>
  <si>
    <t>16/05/2019 16:28:28 UAT PLZ POD confirmed on NTS</t>
  </si>
  <si>
    <t xml:space="preserve">connie              </t>
  </si>
  <si>
    <t>16/05/2019 20:05:57 nks RBG Delivered to client</t>
  </si>
  <si>
    <t>16/05/2019 15:47:21 moo PRY POD confirmed on NTS</t>
  </si>
  <si>
    <t xml:space="preserve">almarie             </t>
  </si>
  <si>
    <t>16/05/2019 16:28:01 moo PRY POD confirmed on NTS</t>
  </si>
  <si>
    <t xml:space="preserve">MAINSTREET 1310     </t>
  </si>
  <si>
    <t xml:space="preserve">CLEMENT             </t>
  </si>
  <si>
    <t>16/05/2019 16:19:13 teb PRY POD confirmed on NTS</t>
  </si>
  <si>
    <t>16/05/2019 12:03:15 ssh DUR POD confirmed on NTS</t>
  </si>
  <si>
    <t>NAMPAK BLOW MOULDERS</t>
  </si>
  <si>
    <t>SANDI</t>
  </si>
  <si>
    <t>RE SEND PARCEL BAD ADDRESS</t>
  </si>
  <si>
    <t xml:space="preserve">jack                </t>
  </si>
  <si>
    <t>16/05/2019 18:47:17 lin PLZ POD confirmed on NTS</t>
  </si>
  <si>
    <t xml:space="preserve">LABOTEC (PTY) LTD   </t>
  </si>
  <si>
    <t xml:space="preserve">ketso               </t>
  </si>
  <si>
    <t xml:space="preserve">ROCBOLT TECHNOLGIES </t>
  </si>
  <si>
    <t xml:space="preserve">zintle              </t>
  </si>
  <si>
    <t xml:space="preserve">ZETES (PTY)LTD      </t>
  </si>
  <si>
    <t xml:space="preserve">Christian           </t>
  </si>
  <si>
    <t xml:space="preserve">HERMAN              </t>
  </si>
  <si>
    <t>16/05/2019 16:52:57 teb PRY POD confirmed on NTS</t>
  </si>
  <si>
    <t xml:space="preserve">SAUL                </t>
  </si>
  <si>
    <t xml:space="preserve">nandipha            </t>
  </si>
  <si>
    <t>16/05/2019 16:29:43 UAT PLZ POD confirmed on NTS</t>
  </si>
  <si>
    <t>16/05/2019 17:18:50 jam CPT POD confirmed on NTS</t>
  </si>
  <si>
    <t xml:space="preserve">KYLE                </t>
  </si>
  <si>
    <t xml:space="preserve">Rand Refinery       </t>
  </si>
  <si>
    <t xml:space="preserve">PHUMZILE            </t>
  </si>
  <si>
    <t xml:space="preserve">dmit                </t>
  </si>
  <si>
    <t>T.R.W OCCUPANT RESTR</t>
  </si>
  <si>
    <t xml:space="preserve">Dayne               </t>
  </si>
  <si>
    <t>16/05/2019 18:44:04 jam CPT POD confirmed on NTS</t>
  </si>
  <si>
    <t>16/05/2019 18:47:49 lin PLZ POD confirmed on NTS</t>
  </si>
  <si>
    <t>16/05/2019 16:29:29 UAT PLZ POD confirmed on NTS</t>
  </si>
  <si>
    <t>ALPLAS PLASTICS (PTY</t>
  </si>
  <si>
    <t xml:space="preserve">Deidre              </t>
  </si>
  <si>
    <t>16/05/2019 19:24:20 NGF CPT POD confirmed on NTS</t>
  </si>
  <si>
    <t xml:space="preserve">FLUID SYSTEMS       </t>
  </si>
  <si>
    <t xml:space="preserve">oscar               </t>
  </si>
  <si>
    <t>16/05/2019 16:23:58 NGF CPT POD confirmed on NTS</t>
  </si>
  <si>
    <t>RCL FOODS SUGAR   MI</t>
  </si>
  <si>
    <t xml:space="preserve">D AVRIAT            </t>
  </si>
  <si>
    <t>20/05/2019 09:56:43 NGF CPT POD confirmed on NTS</t>
  </si>
  <si>
    <t xml:space="preserve">lindilwe            </t>
  </si>
  <si>
    <t>16/05/2019 18:20:22 lin PLZ POD confirmed on NTS</t>
  </si>
  <si>
    <t xml:space="preserve">Zaine               </t>
  </si>
  <si>
    <t>16/05/2019 19:24:15 NGF CPT POD confirmed on NTS</t>
  </si>
  <si>
    <t>16/05/2019 17:50:04 NGF CPT POD confirmed on NTS</t>
  </si>
  <si>
    <t>16/05/2019 18:53:31 NGF CPT POD confirmed on NTS</t>
  </si>
  <si>
    <t>16/05/2019 17:13:09 jam CPT POD confirmed on NTS</t>
  </si>
  <si>
    <t>16/05/2019 16:27:31 teb PRY POD confirmed on NTS</t>
  </si>
  <si>
    <t xml:space="preserve">BLANES INSTRUMENTS  </t>
  </si>
  <si>
    <t xml:space="preserve">m corbett           </t>
  </si>
  <si>
    <t>16/05/2019 14:21:37 nks RBG POD confirmed on NTS</t>
  </si>
  <si>
    <t xml:space="preserve">wait                </t>
  </si>
  <si>
    <t>16/05/2019 18:18:16 lin PLZ POD confirmed on NTS</t>
  </si>
  <si>
    <t>16/05/2019 16:54:39 teb PRY POD confirmed on NTS</t>
  </si>
  <si>
    <t>16/05/2019 18:30:12 ssh DUR POD confirmed on NTS</t>
  </si>
  <si>
    <t>16/05/2019 12:38:05 ssh DUR POD confirmed on NTS</t>
  </si>
  <si>
    <t>16/05/2019 12:03:37 ssh DUR POD confirmed on NTS</t>
  </si>
  <si>
    <t xml:space="preserve">M Naidoo            </t>
  </si>
  <si>
    <t>16/05/2019 15:45:16 NIS PZB POD confirmed on NTS</t>
  </si>
  <si>
    <t xml:space="preserve">stamp               </t>
  </si>
  <si>
    <t>16/05/2019 18:28:14 ssh DUR POD confirmed on NTS</t>
  </si>
  <si>
    <t xml:space="preserve">RONALDO             </t>
  </si>
  <si>
    <t>16/05/2019 12:23:37 ssh DUR POD confirmed on NTS</t>
  </si>
  <si>
    <t>16/05/2019 13:12:10 ssh DUR POD confirmed on NTS</t>
  </si>
  <si>
    <t>16/05/2019 12:38:44 ssh DUR POD confirmed on NTS</t>
  </si>
  <si>
    <t>16/05/2019 17:24:01 ssh DUR POD confirmed on NTS</t>
  </si>
  <si>
    <t xml:space="preserve">innocent            </t>
  </si>
  <si>
    <t>16/05/2019 13:22:52 ssh DUR POD confirmed on NTS</t>
  </si>
  <si>
    <t xml:space="preserve">Ikreem              </t>
  </si>
  <si>
    <t>16/05/2019 14:31:34 NIS PZB POD confirmed on NTS</t>
  </si>
  <si>
    <t>16/05/2019 12:14:43 ssh DUR POD confirmed on NTS</t>
  </si>
  <si>
    <t xml:space="preserve">sbongile            </t>
  </si>
  <si>
    <t>16/05/2019 17:23:44 ssh DUR POD confirmed on NTS</t>
  </si>
  <si>
    <t xml:space="preserve">Thavi               </t>
  </si>
  <si>
    <t>16/05/2019 18:15:15 ssh DUR POD confirmed on NTS</t>
  </si>
  <si>
    <t>16/05/2019 10:18:56 IRE BEH POD confirmed on NTS</t>
  </si>
  <si>
    <t>17/05/2019 17:27:10 nis PZB POD confirmed on NTS</t>
  </si>
  <si>
    <t>16/05/2019 17:23:20 ssh DUR POD confirmed on NTS</t>
  </si>
  <si>
    <t>16/05/2019 12:03:44 ssh DUR POD confirmed on NTS</t>
  </si>
  <si>
    <t>16/05/2019 12:14:36 ssh DUR POD confirmed on NTS</t>
  </si>
  <si>
    <t>16/05/2019 12:03:31 ssh DUR POD confirmed on NTS</t>
  </si>
  <si>
    <t>16/05/2019 12:03:23 ssh DUR POD confirmed on NTS</t>
  </si>
  <si>
    <t>GREYTOWN</t>
  </si>
  <si>
    <t xml:space="preserve">UCL COMPANY         </t>
  </si>
  <si>
    <t>16/05/2019 17:05:22 nis PZB POD confirmed on NTS</t>
  </si>
  <si>
    <t>16/05/2019 12:36:47 ssh DUR POD confirmed on NTS</t>
  </si>
  <si>
    <t xml:space="preserve">Riaan               </t>
  </si>
  <si>
    <t>16/05/2019 13:22:44 ssh DUR POD confirmed on NTS</t>
  </si>
  <si>
    <t>16/05/2019 13:11:51 ssh DUR POD confirmed on NTS</t>
  </si>
  <si>
    <t>16/05/2019 13:11:57 ssh DUR POD confirmed on NTS</t>
  </si>
  <si>
    <t xml:space="preserve">ELECTRAHERTZ        </t>
  </si>
  <si>
    <t>16/05/2019 15:26:24 blm PRY POD confirmed on NTS</t>
  </si>
  <si>
    <t xml:space="preserve">MARLENE             </t>
  </si>
  <si>
    <t xml:space="preserve">FUCHS ELECTRONICS   </t>
  </si>
  <si>
    <t xml:space="preserve">ELAINE              </t>
  </si>
  <si>
    <t>16/05/2019 16:43:48 TES JNX POD confirmed on NTS</t>
  </si>
  <si>
    <t xml:space="preserve">jerene              </t>
  </si>
  <si>
    <t>16/05/2019 17:24:10 ssh DUR POD confirmed on NTS</t>
  </si>
  <si>
    <t>16/05/2019 17:23:53 ssh DUR POD confirmed on NTS</t>
  </si>
  <si>
    <t xml:space="preserve">UNILEVER SA         </t>
  </si>
  <si>
    <t xml:space="preserve">thembie             </t>
  </si>
  <si>
    <t>16/05/2019 12:27:28 ssh DUR POD confirmed on NTS</t>
  </si>
  <si>
    <t>16/05/2019 17:23:00 ssh DUR POD confirmed on NTS</t>
  </si>
  <si>
    <t xml:space="preserve">ANDREW              </t>
  </si>
  <si>
    <t>16/05/2019 16:52:17 teb PRY POD confirmed on NTS</t>
  </si>
  <si>
    <t>16/05/2019 17:10:39 jam CPT POD confirmed on NTS</t>
  </si>
  <si>
    <t xml:space="preserve">JEVAN               </t>
  </si>
  <si>
    <t>16/05/2019 16:48:20 NGF CPT POD confirmed on NTS</t>
  </si>
  <si>
    <t>BM FOOD MANUFACTURER</t>
  </si>
  <si>
    <t xml:space="preserve">MORNE               </t>
  </si>
  <si>
    <t>16/05/2019 19:08:16 NGF CPT POD confirmed on NTS</t>
  </si>
  <si>
    <t>16/05/2019 18:18:47 lin PLZ POD confirmed on NTS</t>
  </si>
  <si>
    <t>16/05/2019 17:13:29 UAT PLZ POD confirmed on NTS</t>
  </si>
  <si>
    <t>16/05/2019 12:37:33 ssh DUR POD confirmed on NTS</t>
  </si>
  <si>
    <t>16/05/2019 15:33:27 AVW ELS POD confirmed on NTS</t>
  </si>
  <si>
    <t>16/05/2019 17:36:27 ssh DUR POD confirmed on NTS</t>
  </si>
  <si>
    <t xml:space="preserve">Mbali               </t>
  </si>
  <si>
    <t>16/05/2019 15:15:57 NIS PZB POD confirmed on NTS</t>
  </si>
  <si>
    <t xml:space="preserve">n le roux           </t>
  </si>
  <si>
    <t>16/05/2019 17:15:21 SYSTEM  POD Upload Android</t>
  </si>
  <si>
    <t xml:space="preserve">STEFAN              </t>
  </si>
  <si>
    <t>16/05/2019 17:50:33 NGF CPT POD confirmed on NTS</t>
  </si>
  <si>
    <t>16/05/2019 17:11:26 jam CPT POD confirmed on NTS</t>
  </si>
  <si>
    <t>16/05/2019 17:14:15 UAT PLZ POD confirmed on NTS</t>
  </si>
  <si>
    <t xml:space="preserve">k sherwin           </t>
  </si>
  <si>
    <t>16/05/2019 17:02:19 jam CPT POD confirmed on NTS</t>
  </si>
  <si>
    <t>ELSTER KENT METERING</t>
  </si>
  <si>
    <t>16/05/2019 13:12:02 ssh DUR POD confirmed on NTS</t>
  </si>
  <si>
    <t>16/05/2019 16:28:46 UAT PLZ POD confirmed on NTS</t>
  </si>
  <si>
    <t xml:space="preserve">PIONEER PLASTICS    </t>
  </si>
  <si>
    <t xml:space="preserve">WANDA               </t>
  </si>
  <si>
    <t>16/05/2019 16:51:07 teb PRY POD confirmed on NTS</t>
  </si>
  <si>
    <t>16/05/2019 12:27:39 ssh DUR POD confirmed on NTS</t>
  </si>
  <si>
    <t>FRIMAX FOODS (PTY) L</t>
  </si>
  <si>
    <t xml:space="preserve">reshma              </t>
  </si>
  <si>
    <t>16/05/2019 17:04:50 ssh DUR POD confirmed on NTS</t>
  </si>
  <si>
    <t>16/05/2019 15:49:22 moo PRY POD confirmed on NTS</t>
  </si>
  <si>
    <t>16/05/2019 17:01:27 jam CPT POD confirmed on NTS</t>
  </si>
  <si>
    <t>16/05/2019 16:29:37 UAT PLZ POD confirmed on NTS</t>
  </si>
  <si>
    <t>16/05/2019 18:53:23 NGF CPT POD confirmed on NTS</t>
  </si>
  <si>
    <t>16/05/2019 18:44:14 jam CPT POD confirmed on NTS</t>
  </si>
  <si>
    <t>16/05/2019 16:29:08 UAT PLZ POD confirmed on NTS</t>
  </si>
  <si>
    <t xml:space="preserve">Vincent             </t>
  </si>
  <si>
    <t>16/05/2019 13:25:44 ssh DUR POD confirmed on NTS</t>
  </si>
  <si>
    <t>16/05/2019 14:32:00 NIS PZB POD confirmed on NTS</t>
  </si>
  <si>
    <t>16/05/2019 16:29:47 NGF CPT POD confirmed on NTS</t>
  </si>
  <si>
    <t>KINGWILLIAMSTOWN</t>
  </si>
  <si>
    <t xml:space="preserve">MA AUTOMOTIVE       </t>
  </si>
  <si>
    <t xml:space="preserve">Hein                </t>
  </si>
  <si>
    <t>16/05/2019 21:31:31 TTS ELS Delivered to client</t>
  </si>
  <si>
    <t>16/05/2019 12:46:13 AVW ELS POD confirmed on NTS</t>
  </si>
  <si>
    <t>16/05/2019 12:46:20 AVW ELS POD confirmed on NTS</t>
  </si>
  <si>
    <t xml:space="preserve">kreolen             </t>
  </si>
  <si>
    <t>16/05/2019 13:31:55 ssh DUR POD confirmed on NTS</t>
  </si>
  <si>
    <t>16/05/2019 14:31:23 NIS PZB POD confirmed on NTS</t>
  </si>
  <si>
    <t>16/05/2019 19:26:13 kfh JNX POD confirmed on NTS</t>
  </si>
  <si>
    <t>COCA COLA CANNERS OF</t>
  </si>
  <si>
    <t xml:space="preserve">jane                </t>
  </si>
  <si>
    <t xml:space="preserve">SANNA               </t>
  </si>
  <si>
    <t>16/05/2019 16:53:08 teb PRY POD confirmed on NTS</t>
  </si>
  <si>
    <t xml:space="preserve">sam                 </t>
  </si>
  <si>
    <t>16/05/2019 15:47:26 moo PRY POD confirmed on NTS</t>
  </si>
  <si>
    <t>16/05/2019 18:48:00 lin PLZ POD confirmed on NTS</t>
  </si>
  <si>
    <t>16/05/2019 16:32:26 UAT PLZ POD confirmed on NTS</t>
  </si>
  <si>
    <t>16/05/2019 17:03:01 jam CPT POD confirmed on NTS</t>
  </si>
  <si>
    <t>16/05/2019 18:44:24 jam CPT POD confirmed on NTS</t>
  </si>
  <si>
    <t xml:space="preserve">sthembile           </t>
  </si>
  <si>
    <t>16/05/2019 17:24:40 ssh DUR POD confirmed on NTS</t>
  </si>
  <si>
    <t xml:space="preserve">TEBOGO              </t>
  </si>
  <si>
    <t xml:space="preserve">MOSE                </t>
  </si>
  <si>
    <t>16/05/2019 16:27:56 teb PRY POD confirmed on NTS</t>
  </si>
  <si>
    <t>MILLNERS DENTAL SUPP</t>
  </si>
  <si>
    <t xml:space="preserve">redman              </t>
  </si>
  <si>
    <t>16/05/2019 16:35:34 UAT PLZ POD confirmed on NTS</t>
  </si>
  <si>
    <t xml:space="preserve">KROMBERG   SCHUBERT </t>
  </si>
  <si>
    <t xml:space="preserve">pontsho             </t>
  </si>
  <si>
    <t>16/05/2019 16:44:06 nks RBG POD confirmed on NTS</t>
  </si>
  <si>
    <t>16/05/2019 12:23:44 ssh DUR POD confirmed on NTS</t>
  </si>
  <si>
    <t>16/05/2019 19:00:12 ssh DUR POD confirmed on NTS</t>
  </si>
  <si>
    <t xml:space="preserve">buikie              </t>
  </si>
  <si>
    <t>16/05/2019 17:19:52 mmd JNX POD confirmed on NTS</t>
  </si>
  <si>
    <t xml:space="preserve">lindliwe            </t>
  </si>
  <si>
    <t>16/05/2019 18:20:07 lin PLZ POD confirmed on NTS</t>
  </si>
  <si>
    <t>16/05/2019 16:31:52 NGF CPT POD confirmed on NTS</t>
  </si>
  <si>
    <t>16/05/2019 16:43:55 nks RBG POD confirmed on NTS</t>
  </si>
  <si>
    <t>16/05/2019 17:49:47 NGF CPT POD confirmed on NTS</t>
  </si>
  <si>
    <t>16/05/2019 19:08:06 NGF CPT POD confirmed on NTS</t>
  </si>
  <si>
    <t xml:space="preserve">dumsani             </t>
  </si>
  <si>
    <t>16/05/2019 21:13:00 TTS HST USSD POD</t>
  </si>
  <si>
    <t>16/05/2019 18:53:16 NGF CPT POD confirmed on NTS</t>
  </si>
  <si>
    <t>16/05/2019 17:25:04 ssh DUR POD confirmed on NTS</t>
  </si>
  <si>
    <t>REEF ENGINEERING   M</t>
  </si>
  <si>
    <t xml:space="preserve">H DE KOCK KUISTNER  </t>
  </si>
  <si>
    <t>16/05/2019 17:22:49 ssh DUR POD confirmed on NTS</t>
  </si>
  <si>
    <t>16/05/2019 17:24:55 ssh DUR POD confirmed on NTS</t>
  </si>
  <si>
    <t>16/05/2019 16:48:09 NGF CPT POD confirmed on NTS</t>
  </si>
  <si>
    <t xml:space="preserve">T Tladi             </t>
  </si>
  <si>
    <t xml:space="preserve">ZAHID               </t>
  </si>
  <si>
    <t>16/05/2019 18:04:56 NGF CPT POD confirmed on NTS</t>
  </si>
  <si>
    <t>17/05/2019 12:54:58 SSH DUR POD confirmed on NTS</t>
  </si>
  <si>
    <t>17/05/2019 16:55:28 UAT PLZ POD confirmed on NTS</t>
  </si>
  <si>
    <t>17/05/2019 14:15:18 sim ELS POD confirmed on NTS</t>
  </si>
  <si>
    <t>CORRUSEAL CORRUGATED</t>
  </si>
  <si>
    <t xml:space="preserve">REBECCA             </t>
  </si>
  <si>
    <t>17/05/2019 17:58:22 NGF CPT POD confirmed on NTS</t>
  </si>
  <si>
    <t>Tender Document</t>
  </si>
  <si>
    <t>No parcel record</t>
  </si>
  <si>
    <t xml:space="preserve">Reception will </t>
  </si>
  <si>
    <t>17/05/2019 14:15:01 sim ELS POD confirmed on NTS</t>
  </si>
  <si>
    <t xml:space="preserve">MSG SYSTEMS         </t>
  </si>
  <si>
    <t xml:space="preserve">yemkela             </t>
  </si>
  <si>
    <t>16/05/2019 17:51:38 tvn JNX Dest label printed</t>
  </si>
  <si>
    <t>17/05/2019 16:12:00 UAT PLZ POD confirmed on NTS</t>
  </si>
  <si>
    <t>17/05/2019 12:16:19 SSH DUR POD confirmed on NTS</t>
  </si>
  <si>
    <t>17/05/2019 15:00:25 nis PZB POD confirmed on NTS</t>
  </si>
  <si>
    <t>ESTCOURT</t>
  </si>
  <si>
    <t xml:space="preserve">l t naiker          </t>
  </si>
  <si>
    <t>17/05/2019 16:59:17 nis PZB POD confirmed on NTS</t>
  </si>
  <si>
    <t xml:space="preserve">vukani              </t>
  </si>
  <si>
    <t>17/05/2019 17:26:30 nis PZB Delivered to client</t>
  </si>
  <si>
    <t xml:space="preserve">povrn               </t>
  </si>
  <si>
    <t>17/05/2019 13:22:03 SSH DUR POD confirmed on NTS</t>
  </si>
  <si>
    <t>17/05/2019 17:18:28 ADR BEH POD confirmed on NTS</t>
  </si>
  <si>
    <t>17/05/2019 15:00:11 nis PZB POD confirmed on NTS</t>
  </si>
  <si>
    <t>17/05/2019 14:59:47 nis PZB POD confirmed on NTS</t>
  </si>
  <si>
    <t>17/05/2019 13:22:09 SSH DUR POD confirmed on NTS</t>
  </si>
  <si>
    <t>17/05/2019 18:24:51 phr NEW POD confirmed on NTS</t>
  </si>
  <si>
    <t xml:space="preserve">Y KUILER            </t>
  </si>
  <si>
    <t>17/05/2019 16:18:00 TTS HST USSD POD</t>
  </si>
  <si>
    <t>17/05/2019 17:48:00 UAT PLZ POD confirmed on NTS</t>
  </si>
  <si>
    <t xml:space="preserve">Rico                </t>
  </si>
  <si>
    <t>16/05/2019 17:53:14 tvn JNX Dest label printed</t>
  </si>
  <si>
    <t xml:space="preserve">HELLERMANN TYTON    </t>
  </si>
  <si>
    <t xml:space="preserve">thabo               </t>
  </si>
  <si>
    <t>NAMPAK TISSUE A DIVI</t>
  </si>
  <si>
    <t>17/05/2019 15:01:55 NGF CPT POD confirmed on NTS</t>
  </si>
  <si>
    <t xml:space="preserve">WILBUR              </t>
  </si>
  <si>
    <t>17/05/2019 18:11:58 NGF CPT POD confirmed on NTS</t>
  </si>
  <si>
    <t>17/05/2019 17:57:13 NGF CPT POD confirmed on NTS</t>
  </si>
  <si>
    <t xml:space="preserve">Arthur              </t>
  </si>
  <si>
    <t>17/05/2019 16:41:12 NGF CPT POD confirmed on NTS</t>
  </si>
  <si>
    <t>17/05/2019 17:57:05 NGF CPT POD confirmed on NTS</t>
  </si>
  <si>
    <t xml:space="preserve">BONNY               </t>
  </si>
  <si>
    <t>17/05/2019 16:15:52 NGF CPT POD confirmed on NTS</t>
  </si>
  <si>
    <t>17/05/2019 16:34:09 NGF CPT POD confirmed on NTS</t>
  </si>
  <si>
    <t xml:space="preserve">ACTOM PTY LTD       </t>
  </si>
  <si>
    <t xml:space="preserve">Virginia            </t>
  </si>
  <si>
    <t xml:space="preserve">heath               </t>
  </si>
  <si>
    <t>AUTOMATION WORKS GAU</t>
  </si>
  <si>
    <t xml:space="preserve">moyo                </t>
  </si>
  <si>
    <t xml:space="preserve">ENGELA              </t>
  </si>
  <si>
    <t xml:space="preserve">MANDLA              </t>
  </si>
  <si>
    <t xml:space="preserve">KOENA          </t>
  </si>
  <si>
    <t xml:space="preserve">RS COMPONENTS SA    </t>
  </si>
  <si>
    <t xml:space="preserve">mashudu             </t>
  </si>
  <si>
    <t>20/05/2019 14:44:00 UAT PLZ POD confirmed on NTS</t>
  </si>
  <si>
    <t>17/05/2019 17:48:36 UAT PLZ POD confirmed on NTS</t>
  </si>
  <si>
    <t>17/05/2019 06:37:13 TTS PLZ data sent to 3rd party</t>
  </si>
  <si>
    <t xml:space="preserve">Hubert              </t>
  </si>
  <si>
    <t>17/05/2019 18:13:48 NGF CPT POD confirmed on NTS</t>
  </si>
  <si>
    <t>HYGIENIC TISSUE MILL</t>
  </si>
  <si>
    <t xml:space="preserve">zakia               </t>
  </si>
  <si>
    <t>17/05/2019 16:48:50 nis PZB POD confirmed on NTS</t>
  </si>
  <si>
    <t>RICH PRODUCTS CORP O</t>
  </si>
  <si>
    <t xml:space="preserve">j booysens          </t>
  </si>
  <si>
    <t>17/05/2019 16:17:19 teb PRY POD confirmed on NTS</t>
  </si>
  <si>
    <t xml:space="preserve">SAMSN               </t>
  </si>
  <si>
    <t>17/05/2019 16:16:57 teb PRY POD confirmed on NTS</t>
  </si>
  <si>
    <t xml:space="preserve">SELBY               </t>
  </si>
  <si>
    <t>17/05/2019 17:19:26 teb PRY POD confirmed on NTS</t>
  </si>
  <si>
    <t xml:space="preserve">Koos                </t>
  </si>
  <si>
    <t>20/05/2019 18:39:31 moo PRY POD confirmed on NTS</t>
  </si>
  <si>
    <t xml:space="preserve">SODECIA SA          </t>
  </si>
  <si>
    <t xml:space="preserve">letlotlo            </t>
  </si>
  <si>
    <t>17/05/2019 15:53:31 blm PRY POD confirmed on NTS</t>
  </si>
  <si>
    <t xml:space="preserve">L TRUTER            </t>
  </si>
  <si>
    <t>17/05/2019 16:16:27 teb PRY POD confirmed on NTS</t>
  </si>
  <si>
    <t>17/05/2019 15:28:12 blm PRY POD confirmed on NTS</t>
  </si>
  <si>
    <t>PASDEC AUTOMOTIVE TE</t>
  </si>
  <si>
    <t xml:space="preserve">pornyeshen          </t>
  </si>
  <si>
    <t>17/05/2019 17:29:04 nks RBG POD confirmed on NTS</t>
  </si>
  <si>
    <t xml:space="preserve">vero                </t>
  </si>
  <si>
    <t>17/05/2019 17:21:38 blm PRY POD confirmed on NTS</t>
  </si>
  <si>
    <t>17/05/2019 16:07:18 jam CPT POD confirmed on NTS</t>
  </si>
  <si>
    <t>17/05/2019 19:24:33 NGF CPT POD confirmed on NTS</t>
  </si>
  <si>
    <t>17/05/2019 16:41:08 NGF CPT POD confirmed on NTS</t>
  </si>
  <si>
    <t>17/05/2019 17:58:02 NGF CPT POD confirmed on NTS</t>
  </si>
  <si>
    <t xml:space="preserve">YAMKELA             </t>
  </si>
  <si>
    <t>17/05/2019 16:17:00 TTS HST USSD POD</t>
  </si>
  <si>
    <t>17/05/2019 16:14:41 UAT PLZ POD confirmed on NTS</t>
  </si>
  <si>
    <t>G.R.W ENGINEERING (P</t>
  </si>
  <si>
    <t>21/05/2019 10:05:26 NGF CPT POD confirmed on NTS</t>
  </si>
  <si>
    <t xml:space="preserve">mbali               </t>
  </si>
  <si>
    <t>17/05/2019 17:28:13 nis PZB POD confirmed on NTS</t>
  </si>
  <si>
    <t xml:space="preserve">rico                </t>
  </si>
  <si>
    <t>17/05/2019 16:10:54 UAT PLZ POD confirmed on NTS</t>
  </si>
  <si>
    <t>17/05/2019 17:48:27 UAT PLZ POD confirmed on NTS</t>
  </si>
  <si>
    <t>17/05/2019 16:41:14 NGF CPT POD confirmed on NTS</t>
  </si>
  <si>
    <t>17/05/2019 19:24:07 NGF CPT POD confirmed on NTS</t>
  </si>
  <si>
    <t>WESTERN CAPE RUBICON</t>
  </si>
  <si>
    <t xml:space="preserve">MARCO               </t>
  </si>
  <si>
    <t>17/05/2019 18:11:01 NGF CPT POD confirmed on NTS</t>
  </si>
  <si>
    <t>17/05/2019 18:24:01 phr NEW POD confirmed on NTS</t>
  </si>
  <si>
    <t>17/05/2019 18:11:35 NGF CPT POD confirmed on NTS</t>
  </si>
  <si>
    <t>17/05/2019 18:24:31 phr NEW POD confirmed on NTS</t>
  </si>
  <si>
    <t>HYDRABERG HYDRAULICS</t>
  </si>
  <si>
    <t xml:space="preserve">Patricia            </t>
  </si>
  <si>
    <t>17/05/2019 18:13:55 NGF CPT POD confirmed on NTS</t>
  </si>
  <si>
    <t xml:space="preserve">SUZAN               </t>
  </si>
  <si>
    <t>17/05/2019 13:40:14 SYSTEM  POD Upload Android</t>
  </si>
  <si>
    <t>17/05/2019 18:13:27 NGF CPT POD confirmed on NTS</t>
  </si>
  <si>
    <t xml:space="preserve">BELLIMAN            </t>
  </si>
  <si>
    <t>17/05/2019 17:13:15 jam CPT POD confirmed on NTS</t>
  </si>
  <si>
    <t>17/05/2019 18:22:59 phr NEW POD confirmed on NTS</t>
  </si>
  <si>
    <t>17/05/2019 12:55:10 SSH DUR POD confirmed on NTS</t>
  </si>
  <si>
    <t>17/05/2019 15:00:00 nis PZB POD confirmed on NTS</t>
  </si>
  <si>
    <t xml:space="preserve">THUTHUKA PACKAGING  </t>
  </si>
  <si>
    <t xml:space="preserve">Beverly             </t>
  </si>
  <si>
    <t>ILLOVO SUGAR LTD-EST</t>
  </si>
  <si>
    <t>17/05/2019 13:21:54 SSH DUR POD confirmed on NTS</t>
  </si>
  <si>
    <t>17/05/2019 17:47:51 UAT PLZ POD confirmed on NTS</t>
  </si>
  <si>
    <t xml:space="preserve">CONVERTACOR CC      </t>
  </si>
  <si>
    <t xml:space="preserve">CHANTAL             </t>
  </si>
  <si>
    <t>17/05/2019 20:24:40 let JNX POD confirmed on NTS</t>
  </si>
  <si>
    <t>16/05/2019 17:54:01 tvn JNX Dest label printed</t>
  </si>
  <si>
    <t xml:space="preserve">CEREBOS LTD         </t>
  </si>
  <si>
    <t>00::0</t>
  </si>
  <si>
    <t xml:space="preserve">BRENDA              </t>
  </si>
  <si>
    <t>21/05/2019 16:01:40 TTS PLZ Delivered to client</t>
  </si>
  <si>
    <t xml:space="preserve">kimmi               </t>
  </si>
  <si>
    <t>17/05/2019 17:50:19 lin PLZ POD confirmed on NTS</t>
  </si>
  <si>
    <t>17/05/2019 19:24:18 NGF CPT POD confirmed on NTS</t>
  </si>
  <si>
    <t>17/05/2019 18:54:38 ssh DUR POD confirmed on NTS</t>
  </si>
  <si>
    <t>17/05/2019 18:08:22 jam CPT POD confirmed on NTS</t>
  </si>
  <si>
    <t>17/05/2019 16:59:28 nis PZB POD confirmed on NTS</t>
  </si>
  <si>
    <t>17/05/2019 16:17:19 NGF CPT POD confirmed on NTS</t>
  </si>
  <si>
    <t xml:space="preserve">MEGA - PAK          </t>
  </si>
  <si>
    <t>17/05/2019 14:56:15 SSH DUR POD confirmed on NTS</t>
  </si>
  <si>
    <t>VITAL AUTOMATED SREV</t>
  </si>
  <si>
    <t xml:space="preserve">Jessica             </t>
  </si>
  <si>
    <t>17/05/2019 14:39:59 nks RBG POD confirmed on NTS</t>
  </si>
  <si>
    <t>17/05/2019 17:57:55 NGF CPT POD confirmed on NTS</t>
  </si>
  <si>
    <t>17/05/2019 18:13:33 NGF CPT POD confirmed on NTS</t>
  </si>
  <si>
    <t xml:space="preserve">CECIL               </t>
  </si>
  <si>
    <t>20/05/2019 18:51:07 NGF CPT POD confirmed on NTS</t>
  </si>
  <si>
    <t>17/05/2019 17:58:28 NGF CPT POD confirmed on NTS</t>
  </si>
  <si>
    <t>17/05/2019 16:16:45 teb PRY POD confirmed on NTS</t>
  </si>
  <si>
    <t xml:space="preserve">MERLE               </t>
  </si>
  <si>
    <t>17/05/2019 19:01:27 NGF CPT POD confirmed on NTS</t>
  </si>
  <si>
    <t xml:space="preserve">Fred                </t>
  </si>
  <si>
    <t>17/05/2019 12:21:22 SSH DUR POD confirmed on NTS</t>
  </si>
  <si>
    <t>17/05/2019 16:10:01 lin PLZ POD confirmed on NTS</t>
  </si>
  <si>
    <t>21/05/2019 13:00:29 NGF CPT Delivered to client</t>
  </si>
  <si>
    <t>17/05/2019 13:34:07 SSH DUR POD confirmed on NTS</t>
  </si>
  <si>
    <t>RAINBOW RCL FOODS SU</t>
  </si>
  <si>
    <t xml:space="preserve">M ZUMA              </t>
  </si>
  <si>
    <t>21/05/2019 10:05:16 NGF CPT POD confirmed on NTS</t>
  </si>
  <si>
    <t>17/05/2019 16:34:18 NGF CPT POD confirmed on NTS</t>
  </si>
  <si>
    <t>17/05/2019 16:41:04 NGF CPT POD confirmed on NTS</t>
  </si>
  <si>
    <t>17/05/2019 17:55:13 jam CPT POD confirmed on NTS</t>
  </si>
  <si>
    <t>17/05/2019 17:55:26 jam CPT POD confirmed on NTS</t>
  </si>
  <si>
    <t>17/05/2019 16:38:28 NGF CPT POD confirmed on NTS</t>
  </si>
  <si>
    <t>17/05/2019 17:48:49 UAT PLZ POD confirmed on NTS</t>
  </si>
  <si>
    <t>17/05/2019 16:10:15 lin PLZ POD confirmed on NTS</t>
  </si>
  <si>
    <t xml:space="preserve">HANS                </t>
  </si>
  <si>
    <t>DIGN ENGINEERING (PT</t>
  </si>
  <si>
    <t xml:space="preserve">rv nzama            </t>
  </si>
  <si>
    <t xml:space="preserve">l  wick             </t>
  </si>
  <si>
    <t>17/05/2019 14:18:05 sim ELS POD confirmed on NTS</t>
  </si>
  <si>
    <t>17/05/2019 12:10:26 SSH DUR POD confirmed on NTS</t>
  </si>
  <si>
    <t>17/05/2019 17:50:34 lin PLZ POD confirmed on NTS</t>
  </si>
  <si>
    <t>17/05/2019 18:11:47 NGF CPT POD confirmed on NTS</t>
  </si>
  <si>
    <t>N   Z INSTRUMENTATIO</t>
  </si>
  <si>
    <t xml:space="preserve">annetjie            </t>
  </si>
  <si>
    <t>21/05/2019 13:01:51 ssh DUR POD confirmed on NTS</t>
  </si>
  <si>
    <t>17/05/2019 17:22:03 blm PRY POD confirmed on NTS</t>
  </si>
  <si>
    <t xml:space="preserve">rochelle            </t>
  </si>
  <si>
    <t xml:space="preserve">elmar               </t>
  </si>
  <si>
    <t>17/05/2019 18:13:16 NGF CPT POD confirmed on NTS</t>
  </si>
  <si>
    <t>17/05/2019 17:58:15 NGF CPT POD confirmed on NTS</t>
  </si>
  <si>
    <t>TZANEEN</t>
  </si>
  <si>
    <t>LIMPOPO LUMBER PRODU</t>
  </si>
  <si>
    <t xml:space="preserve">CHARLINE            </t>
  </si>
  <si>
    <t>22/05/2019 08:13:01 mam PTG Unpacked at branch</t>
  </si>
  <si>
    <t xml:space="preserve">SKYE PLASTICS (PTY) </t>
  </si>
  <si>
    <t xml:space="preserve">previn              </t>
  </si>
  <si>
    <t xml:space="preserve">TRIMPAD S.A Cc      </t>
  </si>
  <si>
    <t xml:space="preserve">Fathima             </t>
  </si>
  <si>
    <t>CONTINENTAL BISCUITS</t>
  </si>
  <si>
    <t xml:space="preserve">KELLY               </t>
  </si>
  <si>
    <t xml:space="preserve">sanna               </t>
  </si>
  <si>
    <t xml:space="preserve">D PILLAY            </t>
  </si>
  <si>
    <t>17/05/2019 18:27:28 ssh DUR POD confirmed on NTS</t>
  </si>
  <si>
    <t>17/05/2019 13:34:02 SSH DUR POD confirmed on NTS</t>
  </si>
  <si>
    <t>ERMELO</t>
  </si>
  <si>
    <t xml:space="preserve">TEBOTECH (PTY)LTD   </t>
  </si>
  <si>
    <t>20/05/2019 09:12:23 tap WIT Return to sender</t>
  </si>
  <si>
    <t xml:space="preserve">MILLING PZB MILL    </t>
  </si>
  <si>
    <t>17/05/2019 16:49:13 nis PZB POD confirmed on NTS</t>
  </si>
  <si>
    <t>17/05/2019 18:27:41 ssh DUR POD confirmed on NTS</t>
  </si>
  <si>
    <t>17/05/2019 16:10:17 UAT PLZ POD confirmed on NTS</t>
  </si>
  <si>
    <t>17/05/2019 16:17:08 teb PRY POD confirmed on NTS</t>
  </si>
  <si>
    <t>17/05/2019 17:57:49 NGF CPT POD confirmed on NTS</t>
  </si>
  <si>
    <t>17/05/2019 14:14:17 sim ELS POD confirmed on NTS</t>
  </si>
  <si>
    <t>17/05/2019 17:40:28 mmd JNX POD confirmed on NTS</t>
  </si>
  <si>
    <t>20/05/2019 12:06:55 sim ELS POD confirmed on NTS</t>
  </si>
  <si>
    <t>20/05/2019 17:38:08 NIS PZB POD confirmed on NTS</t>
  </si>
  <si>
    <t>20/05/2019 13:27:04 NGF CPT POD confirmed on NTS</t>
  </si>
  <si>
    <t xml:space="preserve">FILKRAFT ( PTY) LTD </t>
  </si>
  <si>
    <t>20/05/2019 16:25:31 NGF CPT POD confirmed on NTS</t>
  </si>
  <si>
    <t>20/05/2019 21:38:49 seb GRJ POD confirmed on NTS</t>
  </si>
  <si>
    <t>20/05/2019 17:30:56 jam CPT POD confirmed on NTS</t>
  </si>
  <si>
    <t>20/05/2019 16:43:15 NGF CPT POD confirmed on NTS</t>
  </si>
  <si>
    <t xml:space="preserve">MARINUS             </t>
  </si>
  <si>
    <t>HEINEKEN SOUTH AFRIC</t>
  </si>
  <si>
    <t xml:space="preserve">SAGGIE              </t>
  </si>
  <si>
    <t xml:space="preserve">JONI                </t>
  </si>
  <si>
    <t xml:space="preserve">sylverster          </t>
  </si>
  <si>
    <t>20/05/2019 17:33:56 moo PRY POD confirmed on NTS</t>
  </si>
  <si>
    <t>20/05/2019 20:15:35 ssh DUR POD confirmed on NTS</t>
  </si>
  <si>
    <t xml:space="preserve">B NXELE             </t>
  </si>
  <si>
    <t xml:space="preserve">steven              </t>
  </si>
  <si>
    <t>HEAVY DUTY INDUSTRIA</t>
  </si>
  <si>
    <t>20/05/2019 17:37:45 NIS PZB POD confirmed on NTS</t>
  </si>
  <si>
    <t xml:space="preserve">v roos              </t>
  </si>
  <si>
    <t>20/05/2019 16:18:11 jam CPT POD confirmed on NTS</t>
  </si>
  <si>
    <t>20/05/2019 16:25:19 NGF CPT POD confirmed on NTS</t>
  </si>
  <si>
    <t xml:space="preserve">Tony Tony           </t>
  </si>
  <si>
    <t>21/05/2019 10:46:29 NGF CPT POD confirmed on NTS</t>
  </si>
  <si>
    <t xml:space="preserve">lee ann             </t>
  </si>
  <si>
    <t>21/05/2019 18:08:41 NGF CPT POD confirmed on NTS</t>
  </si>
  <si>
    <t xml:space="preserve">NQOBA               </t>
  </si>
  <si>
    <t>20/05/2019 17:39:11 NIS PZB POD confirmed on NTS</t>
  </si>
  <si>
    <t>20/05/2019 17:32:16 NGF CPT POD confirmed on NTS</t>
  </si>
  <si>
    <t>20/05/2019 16:25:25 NGF CPT POD confirmed on NTS</t>
  </si>
  <si>
    <t>20/05/2019 16:56:14 blm PRY POD confirmed on NTS</t>
  </si>
  <si>
    <t xml:space="preserve">pocen               </t>
  </si>
  <si>
    <t>20/05/2019 12:29:33 ssh DUR POD confirmed on NTS</t>
  </si>
  <si>
    <t>20/05/2019 16:43:34 NGF CPT POD confirmed on NTS</t>
  </si>
  <si>
    <t xml:space="preserve">FATIMA              </t>
  </si>
  <si>
    <t>20/05/2019 16:55:25 jam CPT POD confirmed on NTS</t>
  </si>
  <si>
    <t xml:space="preserve">A C PNEUMATICS      </t>
  </si>
  <si>
    <t>20/05/2019 17:13:50 jam CPT POD confirmed on NTS</t>
  </si>
  <si>
    <t xml:space="preserve">VINICENT            </t>
  </si>
  <si>
    <t>20/05/2019 12:38:02 ssh DUR POD confirmed on NTS</t>
  </si>
  <si>
    <t>ELECTRO TECHNICAL AG</t>
  </si>
  <si>
    <t xml:space="preserve">ANDRIES             </t>
  </si>
  <si>
    <t>20/05/2019 15:49:05 NIS PZB POD confirmed on NTS</t>
  </si>
  <si>
    <t xml:space="preserve">ajit                </t>
  </si>
  <si>
    <t>20/05/2019 13:58:20 ssh DUR POD confirmed on NTS</t>
  </si>
  <si>
    <t>20/05/2019 17:24:31 phr NEW POD confirmed on NTS</t>
  </si>
  <si>
    <t>20/05/2019 14:49:41 NIS PZB POD confirmed on NTS</t>
  </si>
  <si>
    <t xml:space="preserve">RICHMAN             </t>
  </si>
  <si>
    <t>20/05/2019 13:10:05 ssh DUR POD confirmed on NTS</t>
  </si>
  <si>
    <t xml:space="preserve">CAPE GATE           </t>
  </si>
  <si>
    <t xml:space="preserve">Motsomi             </t>
  </si>
  <si>
    <t xml:space="preserve">engela              </t>
  </si>
  <si>
    <t>YASKAWA SOUTHERN AFR</t>
  </si>
  <si>
    <t xml:space="preserve">karabo              </t>
  </si>
  <si>
    <t>APPOINTMENT REQ   Consignee not avail</t>
  </si>
  <si>
    <t xml:space="preserve">NTP RADIOSOTOP      </t>
  </si>
  <si>
    <t xml:space="preserve">h lubbe             </t>
  </si>
  <si>
    <t xml:space="preserve">Thulani             </t>
  </si>
  <si>
    <t xml:space="preserve">lonele              </t>
  </si>
  <si>
    <t xml:space="preserve">dimpho              </t>
  </si>
  <si>
    <t>20/05/2019 16:51:32 lin PLZ POD confirmed on NTS</t>
  </si>
  <si>
    <t xml:space="preserve">judy                </t>
  </si>
  <si>
    <t xml:space="preserve">dhashen             </t>
  </si>
  <si>
    <t xml:space="preserve">FLUIDLINE PRODUCTS  </t>
  </si>
  <si>
    <t xml:space="preserve">krelona             </t>
  </si>
  <si>
    <t>20/05/2019 13:58:04 ssh DUR POD confirmed on NTS</t>
  </si>
  <si>
    <t>20/05/2019 13:10:30 ssh DUR POD confirmed on NTS</t>
  </si>
  <si>
    <t>UNIVERSAL PAPER   PL</t>
  </si>
  <si>
    <t xml:space="preserve">wilfred             </t>
  </si>
  <si>
    <t>20/05/2019 19:03:28 moo PRY POD confirmed on NTS</t>
  </si>
  <si>
    <t>20/05/2019 19:03:22 moo PRY POD confirmed on NTS</t>
  </si>
  <si>
    <t>20/05/2019 17:54:43 ssh DUR POD confirmed on NTS</t>
  </si>
  <si>
    <t>20/05/2019 14:04:29 ssh DUR POD confirmed on NTS</t>
  </si>
  <si>
    <t xml:space="preserve">SAFRIPOL (PTY) LTD  </t>
  </si>
  <si>
    <t xml:space="preserve">BOITHATO            </t>
  </si>
  <si>
    <t>20/05/2019 11:57:07 ssh DUR POD confirmed on NTS</t>
  </si>
  <si>
    <t>KIM TAYLOR ENTEPRISE</t>
  </si>
  <si>
    <t xml:space="preserve">ursula              </t>
  </si>
  <si>
    <t>20/05/2019 11:50:27 ssh DUR POD confirmed on NTS</t>
  </si>
  <si>
    <t xml:space="preserve">SHERIE              </t>
  </si>
  <si>
    <t>21/05/2019 13:10:32 mec PZB Unpacked at branch</t>
  </si>
  <si>
    <t>20/05/2019 13:58:13 ssh DUR POD confirmed on NTS</t>
  </si>
  <si>
    <t>20/05/2019 13:10:21 ssh DUR POD confirmed on NTS</t>
  </si>
  <si>
    <t xml:space="preserve">Anandi              </t>
  </si>
  <si>
    <t>MATO PRODUCTS PTY LT</t>
  </si>
  <si>
    <t xml:space="preserve">SIMON               </t>
  </si>
  <si>
    <t xml:space="preserve">SMITH               </t>
  </si>
  <si>
    <t>20/05/2019 13:49:46 ssh DUR POD confirmed on NTS</t>
  </si>
  <si>
    <t>20/05/2019 18:48:42 NGF CPT POD confirmed on NTS</t>
  </si>
  <si>
    <t>20/05/2019 17:54:13 teb PRY POD confirmed on NTS</t>
  </si>
  <si>
    <t xml:space="preserve">RFES1162690509      </t>
  </si>
  <si>
    <t>20/05/2019 16:56:21 blm PRY POD confirmed on NTS</t>
  </si>
  <si>
    <t>20/05/2019 15:40:38 moo PRY POD confirmed on NTS</t>
  </si>
  <si>
    <t>20/05/2019 15:40:57 moo PRY POD confirmed on NTS</t>
  </si>
  <si>
    <t>20/05/2019 15:39:51 moo PRY POD confirmed on NTS</t>
  </si>
  <si>
    <t>20/05/2019 15:40:49 moo PRY POD confirmed on NTS</t>
  </si>
  <si>
    <t xml:space="preserve">GRAVMAX             </t>
  </si>
  <si>
    <t xml:space="preserve">j brine             </t>
  </si>
  <si>
    <t>20/05/2019 16:33:11 nks RBG POD confirmed on NTS</t>
  </si>
  <si>
    <t xml:space="preserve">meagan              </t>
  </si>
  <si>
    <t>20/05/2019 16:21:15 NGF CPT POD confirmed on NTS</t>
  </si>
  <si>
    <t xml:space="preserve">jeff                </t>
  </si>
  <si>
    <t>21/05/2019 11:48:29 sim ELS POD confirmed on NTS</t>
  </si>
  <si>
    <t>21/05/2019 10:50:23 SYSTEM  POD Upload Android</t>
  </si>
  <si>
    <t xml:space="preserve">JOANNE              </t>
  </si>
  <si>
    <t>20/05/2019 17:30:16 jam CPT Delivered to client</t>
  </si>
  <si>
    <t>20/05/2019 17:29:51 jam CPT POD confirmed on NTS</t>
  </si>
  <si>
    <t>20/05/2019 11:47:34 ssh DUR POD confirmed on NTS</t>
  </si>
  <si>
    <t>20/05/2019 17:54:55 ssh DUR POD confirmed on NTS</t>
  </si>
  <si>
    <t xml:space="preserve">riven               </t>
  </si>
  <si>
    <t xml:space="preserve">WAYNE               </t>
  </si>
  <si>
    <t xml:space="preserve">chante              </t>
  </si>
  <si>
    <t xml:space="preserve">charita             </t>
  </si>
  <si>
    <t>20/05/2019 12:30:05 ssh DUR POD confirmed on NTS</t>
  </si>
  <si>
    <t>20/05/2019 12:29:55 ssh DUR POD confirmed on NTS</t>
  </si>
  <si>
    <t>20/05/2019 12:05:05 sim ELS POD confirmed on NTS</t>
  </si>
  <si>
    <t>20/05/2019 12:05:20 sim ELS POD confirmed on NTS</t>
  </si>
  <si>
    <t xml:space="preserve">Bruce               </t>
  </si>
  <si>
    <t>21/05/2019 16:27:37 UAT PLZ POD confirmed on NTS</t>
  </si>
  <si>
    <t xml:space="preserve">Nazima              </t>
  </si>
  <si>
    <t>21/05/2019 10:46:20 NGF CPT POD confirmed on NTS</t>
  </si>
  <si>
    <t>20/05/2019 16:43:25 NGF CPT POD confirmed on NTS</t>
  </si>
  <si>
    <t xml:space="preserve">COLLIN CHETTY  </t>
  </si>
  <si>
    <t xml:space="preserve">FILMATIC PACKAGING  </t>
  </si>
  <si>
    <t>AS PER BAKKER R</t>
  </si>
  <si>
    <t xml:space="preserve">MARIA               </t>
  </si>
  <si>
    <t xml:space="preserve">Ralph               </t>
  </si>
  <si>
    <t>21/05/2019 17:20:15 NGF CPT POD confirmed on NTS</t>
  </si>
  <si>
    <t>21/05/2019 12:33:16 ssh DUR POD confirmed on NTS</t>
  </si>
  <si>
    <t xml:space="preserve">jeanette            </t>
  </si>
  <si>
    <t xml:space="preserve">GREIF SA PTY LTD    </t>
  </si>
  <si>
    <t xml:space="preserve">Lerato              </t>
  </si>
  <si>
    <t>BALLENA TRADING 31 P</t>
  </si>
  <si>
    <t>21/05/2019 16:48:13 teb PRY POD confirmed on NTS</t>
  </si>
  <si>
    <t xml:space="preserve">qondi               </t>
  </si>
  <si>
    <t>21/05/2019 18:16:06 blm PRY POD confirmed on NTS</t>
  </si>
  <si>
    <t xml:space="preserve">NAMPAK GLASS        </t>
  </si>
  <si>
    <t xml:space="preserve">MAXWELL             </t>
  </si>
  <si>
    <t xml:space="preserve">SASOL NITRO         </t>
  </si>
  <si>
    <t xml:space="preserve">L ALBERTS           </t>
  </si>
  <si>
    <t>22/05/2019 17:44:00 nks RBG POD confirmed on NTS</t>
  </si>
  <si>
    <t>21/05/2019 11:47:25 sim ELS POD confirmed on NTS</t>
  </si>
  <si>
    <t xml:space="preserve">SHARON              </t>
  </si>
  <si>
    <t>21/05/2019 16:13:56 NIS PZB POD confirmed on NTS</t>
  </si>
  <si>
    <t xml:space="preserve">silo                </t>
  </si>
  <si>
    <t xml:space="preserve">nomthadgo           </t>
  </si>
  <si>
    <t>21/05/2019 17:57:14 NIS PZB POD confirmed on NTS</t>
  </si>
  <si>
    <t>21/05/2019 17:49:25 UAT PLZ POD confirmed on NTS</t>
  </si>
  <si>
    <t xml:space="preserve">KALLIE              </t>
  </si>
  <si>
    <t>21/05/2019 21:21:51 seb GRJ POD confirmed on NTS</t>
  </si>
  <si>
    <t>KANSAI PLASCON (PTY)</t>
  </si>
  <si>
    <t xml:space="preserve">nokuthula           </t>
  </si>
  <si>
    <t>21/05/2019 13:30:56 ssh DUR POD confirmed on NTS</t>
  </si>
  <si>
    <t xml:space="preserve">Shanon              </t>
  </si>
  <si>
    <t>21/05/2019 16:00:55 jam CPT POD confirmed on NTS</t>
  </si>
  <si>
    <t xml:space="preserve">Ashley              </t>
  </si>
  <si>
    <t>21/05/2019 16:22:18 UAT PLZ POD confirmed on NTS</t>
  </si>
  <si>
    <t>21/05/2019 12:33:22 ssh DUR POD confirmed on NTS</t>
  </si>
  <si>
    <t>21/05/2019 12:33:01 ssh DUR POD confirmed on NTS</t>
  </si>
  <si>
    <t xml:space="preserve">Victor              </t>
  </si>
  <si>
    <t>21/05/2019 16:27:46 UAT PLZ POD confirmed on NTS</t>
  </si>
  <si>
    <t>21/05/2019 17:49:02 UAT PLZ POD confirmed on NTS</t>
  </si>
  <si>
    <t>21/05/2019 12:41:36 ssh DUR POD confirmed on NTS</t>
  </si>
  <si>
    <t>21/05/2019 17:47:46 UAT PLZ POD confirmed on NTS</t>
  </si>
  <si>
    <t>21/05/2019 16:05:58 jam CPT POD confirmed on NTS</t>
  </si>
  <si>
    <t>21/05/2019 17:48:41 UAT PLZ POD confirmed on NTS</t>
  </si>
  <si>
    <t>21/05/2019 16:05:35 jam CPT POD confirmed on NTS</t>
  </si>
  <si>
    <t xml:space="preserve">Mary                </t>
  </si>
  <si>
    <t>21/05/2019 13:24:08 ssh DUR POD confirmed on NTS</t>
  </si>
  <si>
    <t>21/05/2019 16:36:27 PHR NEW POD confirmed on NTS</t>
  </si>
  <si>
    <t>21/05/2019 16:22:27 UAT PLZ POD confirmed on NTS</t>
  </si>
  <si>
    <t xml:space="preserve">a j cotton          </t>
  </si>
  <si>
    <t>21/05/2019 16:28:09 UAT PLZ POD confirmed on NTS</t>
  </si>
  <si>
    <t>GEO</t>
  </si>
  <si>
    <t>21/05/2019 21:30:24 TTS PLZ data sent to 3rd party</t>
  </si>
  <si>
    <t>4 BYTES AUTOMATION C</t>
  </si>
  <si>
    <t xml:space="preserve">itumeleng           </t>
  </si>
  <si>
    <t>21/05/2019 18:05:01 moo PRY POD confirmed on NTS</t>
  </si>
  <si>
    <t>TORGA OPTICAL LENS M</t>
  </si>
  <si>
    <t xml:space="preserve">SAVANNAH            </t>
  </si>
  <si>
    <t>21/05/2019 17:05:53 jam CPT POD confirmed on NTS</t>
  </si>
  <si>
    <t>ULTRAFOOD INNOVATION</t>
  </si>
  <si>
    <t xml:space="preserve">MELISSA             </t>
  </si>
  <si>
    <t xml:space="preserve">JOWI                </t>
  </si>
  <si>
    <t>21/05/2019 16:48:42 teb PRY POD confirmed on NTS</t>
  </si>
  <si>
    <t>21/05/2019 21:10:54 seb GRJ POD confirmed on NTS</t>
  </si>
  <si>
    <t xml:space="preserve">Bongza              </t>
  </si>
  <si>
    <t>21/05/2019 13:23:59 ssh DUR POD confirmed on NTS</t>
  </si>
  <si>
    <t>PHARMACEUTICAL CONTR</t>
  </si>
  <si>
    <t xml:space="preserve">louis               </t>
  </si>
  <si>
    <t>21/05/2019 18:35:46 mmd JNX POD confirmed on NTS</t>
  </si>
  <si>
    <t xml:space="preserve">Kamesan             </t>
  </si>
  <si>
    <t>21/05/2019 15:43:26 NIS PZB POD confirmed on NTS</t>
  </si>
  <si>
    <t>CAPDAN   ALLIED EQUI</t>
  </si>
  <si>
    <t xml:space="preserve">Lisa                </t>
  </si>
  <si>
    <t>21/05/2019 16:06:21 jam CPT Delivered to client</t>
  </si>
  <si>
    <t>STRAIT ACCESS TECHNO</t>
  </si>
  <si>
    <t xml:space="preserve">harish appa         </t>
  </si>
  <si>
    <t>21/05/2019 17:23:17 jam CPT POD confirmed on NTS</t>
  </si>
  <si>
    <t xml:space="preserve">phindile            </t>
  </si>
  <si>
    <t>21/05/2019 13:06:22 ssh DUR POD confirmed on NTS</t>
  </si>
  <si>
    <t>21/05/2019 13:06:30 ssh DUR POD confirmed on NTS</t>
  </si>
  <si>
    <t>21/05/2019 17:48:14 UAT PLZ POD confirmed on NTS</t>
  </si>
  <si>
    <t>22/05/2019 13:55:08 SYSTEM  POD Upload Android</t>
  </si>
  <si>
    <t>PRODUCTIVE ENGINEERI</t>
  </si>
  <si>
    <t xml:space="preserve">WIES                </t>
  </si>
  <si>
    <t>21/05/2019 18:20:15 NGF CPT POD confirmed on NTS</t>
  </si>
  <si>
    <t xml:space="preserve">MEGA-PAK            </t>
  </si>
  <si>
    <t xml:space="preserve">ntshepi             </t>
  </si>
  <si>
    <t xml:space="preserve">TI GROUP AUTOMATION </t>
  </si>
  <si>
    <t xml:space="preserve">logen               </t>
  </si>
  <si>
    <t>21/05/2019 13:35:21 ssh DUR POD confirmed on NTS</t>
  </si>
  <si>
    <t xml:space="preserve">alida               </t>
  </si>
  <si>
    <t xml:space="preserve">thokozani           </t>
  </si>
  <si>
    <t>21/05/2019 11:56:24 ssh DUR POD confirmed on NTS</t>
  </si>
  <si>
    <t xml:space="preserve">2170689131 1   </t>
  </si>
  <si>
    <t>21/05/2019 11:56:29 ssh DUR POD confirmed on NTS</t>
  </si>
  <si>
    <t>21/05/2019 16:05:25 jam CPT POD confirmed on NTS</t>
  </si>
  <si>
    <t xml:space="preserve">dan                 </t>
  </si>
  <si>
    <t>22/05/2019 08:53:15 chb WEL Delivered to client</t>
  </si>
  <si>
    <t>FOXTEC-IKHWEZI PTY L</t>
  </si>
  <si>
    <t xml:space="preserve">ZOLANI              </t>
  </si>
  <si>
    <t>20/05/2019 17:21:02 mss JNX Dest label printed</t>
  </si>
  <si>
    <t xml:space="preserve">THEMBI              </t>
  </si>
  <si>
    <t>22/05/2019 18:21:30 HAP WIT POD confirmed on NTS</t>
  </si>
  <si>
    <t>RE SEND MISROUT</t>
  </si>
  <si>
    <t xml:space="preserve">boikie              </t>
  </si>
  <si>
    <t>21/05/2019 15:15:34 moo PRY POD confirmed on NTS</t>
  </si>
  <si>
    <t xml:space="preserve">WICTRA HOLDINGS PTY </t>
  </si>
  <si>
    <t>21/05/2019 12:09:30 sim ELS POD confirmed on NTS</t>
  </si>
  <si>
    <t>21/05/2019 12:08:47 sim ELS POD confirmed on NTS</t>
  </si>
  <si>
    <t>21/05/2019 12:09:10 sim ELS POD confirmed on NTS</t>
  </si>
  <si>
    <t xml:space="preserve">HARVARD PROJECT     </t>
  </si>
  <si>
    <t>21/05/2019 12:32:36 ssh DUR POD confirmed on NTS</t>
  </si>
  <si>
    <t xml:space="preserve">kate                </t>
  </si>
  <si>
    <t>21/05/2019 16:41:46 moo PRY POD confirmed on NTS</t>
  </si>
  <si>
    <t xml:space="preserve">TANYA               </t>
  </si>
  <si>
    <t xml:space="preserve">yamkela             </t>
  </si>
  <si>
    <t>21/05/2019 17:14:29 UAT PLZ POD confirmed on NTS</t>
  </si>
  <si>
    <t>21/05/2019 13:24:22 ssh DUR POD confirmed on NTS</t>
  </si>
  <si>
    <t xml:space="preserve">ACT LOGISTICS       </t>
  </si>
  <si>
    <t>21/05/2019 16:58:38 NGF CPT POD confirmed on NTS</t>
  </si>
  <si>
    <t>21/05/2019 17:48:56 UAT PLZ POD confirmed on NTS</t>
  </si>
  <si>
    <t>P. WILSON ELECTRICAL</t>
  </si>
  <si>
    <t xml:space="preserve">eliot               </t>
  </si>
  <si>
    <t>21/05/2019 17:41:30 lin PLZ POD confirmed on NTS</t>
  </si>
  <si>
    <t xml:space="preserve">NEAL                </t>
  </si>
  <si>
    <t>21/05/2019 10:49:55 TNV ELS POD confirmed on NTS</t>
  </si>
  <si>
    <t>21/05/2019 16:43:50 NGF CPT POD confirmed on NTS</t>
  </si>
  <si>
    <t>21/05/2019 17:55:38 ssh DUR POD confirmed on NTS</t>
  </si>
  <si>
    <t>21/05/2019 11:56:44 ssh DUR Delivered to client</t>
  </si>
  <si>
    <t>SOUTH AFRICAN BUREAU</t>
  </si>
  <si>
    <t xml:space="preserve">lorraine            </t>
  </si>
  <si>
    <t>21/05/2019 15:45:05 blm PRY POD confirmed on NTS</t>
  </si>
  <si>
    <t>21/05/2019 12:33:29 ssh DUR POD confirmed on NTS</t>
  </si>
  <si>
    <t>21/05/2019 16:24:42 AVW ELS POD confirmed on NTS</t>
  </si>
  <si>
    <t xml:space="preserve">MELANIE             </t>
  </si>
  <si>
    <t>21/05/2019 16:48:11 jam CPT POD confirmed on NTS</t>
  </si>
  <si>
    <t>21/05/2019 17:38:31 NGF CPT POD confirmed on NTS</t>
  </si>
  <si>
    <t>21/05/2019 16:43:58 NGF CPT POD confirmed on NTS</t>
  </si>
  <si>
    <t>21/05/2019 13:47:48 NGF CPT POD confirmed on NTS</t>
  </si>
  <si>
    <t>21/05/2019 17:20:22 NGF CPT POD confirmed on NTS</t>
  </si>
  <si>
    <t xml:space="preserve">LUYANDA             </t>
  </si>
  <si>
    <t>21/05/2019 20:59:40 amt JNX POD confirmed on NTS</t>
  </si>
  <si>
    <t xml:space="preserve">COROBRIK RIETVLEI   </t>
  </si>
  <si>
    <t>22/05/2019 17:55:06 SYSTEM  POD Upload Android</t>
  </si>
  <si>
    <t>21/05/2019 13:24:14 ssh DUR POD confirmed on NTS</t>
  </si>
  <si>
    <t>21/05/2019 17:38:33 lin PLZ POD confirmed on NTS</t>
  </si>
  <si>
    <t>21/05/2019 16:44:42 NGF CPT POD confirmed on NTS</t>
  </si>
  <si>
    <t>21/05/2019 18:07:52 teb PRY POD confirmed on NTS</t>
  </si>
  <si>
    <t xml:space="preserve">CODY                </t>
  </si>
  <si>
    <t>21/05/2019 19:03:14 NGF CPT POD confirmed on NTS</t>
  </si>
  <si>
    <t>21/05/2019 16:05:50 jam CPT POD confirmed on NTS</t>
  </si>
  <si>
    <t xml:space="preserve">FREDDY              </t>
  </si>
  <si>
    <t>21/05/2019 16:49:02 jam CPT POD confirmed on NTS</t>
  </si>
  <si>
    <t xml:space="preserve">mookgo              </t>
  </si>
  <si>
    <t>21/05/2019 18:41:27 mmd JNX POD confirmed on NTS</t>
  </si>
  <si>
    <t>21/05/2019 16:31:37 blm PRY POD confirmed on NTS</t>
  </si>
  <si>
    <t>21/05/2019 16:36:46 PHR NEW POD confirmed on NTS</t>
  </si>
  <si>
    <t>TOYOTA BOSHOKU SA PT</t>
  </si>
  <si>
    <t xml:space="preserve">bongiwe             </t>
  </si>
  <si>
    <t>21/05/2019 13:35:08 ssh DUR POD confirmed on NTS</t>
  </si>
  <si>
    <t>21/05/2019 17:48:32 UAT PLZ POD confirmed on NTS</t>
  </si>
  <si>
    <t>21/05/2019 17:49:09 UAT PLZ POD confirmed on NTS</t>
  </si>
  <si>
    <t>21/05/2019 08:17:56 TTS PLZ data sent to 3rd party</t>
  </si>
  <si>
    <t>21/05/2019 16:24:34 AVW ELS POD confirmed on NTS</t>
  </si>
  <si>
    <t>21/05/2019 12:33:10 ssh DUR POD confirmed on NTS</t>
  </si>
  <si>
    <t>21/05/2019 16:25:09 SYSTEM  POD Upload Android</t>
  </si>
  <si>
    <t>21/05/2019 16:06:30 jam CPT POD confirmed on NTS</t>
  </si>
  <si>
    <t>21/05/2019 17:14:17 UAT PLZ POD confirmed on NTS</t>
  </si>
  <si>
    <t>21/05/2019 11:46:59 sim ELS POD confirmed on NTS</t>
  </si>
  <si>
    <t>21/05/2019 16:14:19 NIS PZB POD confirmed on NTS</t>
  </si>
  <si>
    <t>21/05/2019 16:23:33 UAT PLZ POD confirmed on NTS</t>
  </si>
  <si>
    <t xml:space="preserve">san                 </t>
  </si>
  <si>
    <t xml:space="preserve">colin               </t>
  </si>
  <si>
    <t>21/05/2019 12:42:05 ssh DUR POD confirmed on NTS</t>
  </si>
  <si>
    <t>STARKE INDUSTRIES CC</t>
  </si>
  <si>
    <t>22/05/2019 13:42:10 sth PRY Return to sender</t>
  </si>
  <si>
    <t>21/05/2019 16:22:34 UAT PLZ POD confirmed on NTS</t>
  </si>
  <si>
    <t>21/05/2019 16:42:30 ssh DUR POD confirmed on NTS</t>
  </si>
  <si>
    <t xml:space="preserve">NKOSI               </t>
  </si>
  <si>
    <t xml:space="preserve">lyson               </t>
  </si>
  <si>
    <t>21/05/2019 16:21:39 UAT PLZ POD confirmed on NTS</t>
  </si>
  <si>
    <t xml:space="preserve">TREVOR              </t>
  </si>
  <si>
    <t>21/05/2019 18:08:20 teb PRY POD confirmed on NTS</t>
  </si>
  <si>
    <t>21/05/2019 15:15:03 moo PRY POD confirmed on NTS</t>
  </si>
  <si>
    <t xml:space="preserve">Boipelo             </t>
  </si>
  <si>
    <t>PIONEER FOODS GROCER</t>
  </si>
  <si>
    <t xml:space="preserve">NTOMBI              </t>
  </si>
  <si>
    <t>21/05/2019 17:49:19 NGF CPT POD confirmed on NTS</t>
  </si>
  <si>
    <t>BEARING MAN GROUP (P</t>
  </si>
  <si>
    <t>21/05/2019 18:00:31 lin PLZ POD confirmed on NTS</t>
  </si>
  <si>
    <t>21/05/2019 17:49:07 NGF CPT POD confirmed on NTS</t>
  </si>
  <si>
    <t>RICE   PASTA A DIV O</t>
  </si>
  <si>
    <t xml:space="preserve">vuyiswa             </t>
  </si>
  <si>
    <t>21/05/2019 17:49:28 NGF CPT POD confirmed on NTS</t>
  </si>
  <si>
    <t xml:space="preserve">kyle                </t>
  </si>
  <si>
    <t xml:space="preserve">OUTSTADING POD </t>
  </si>
  <si>
    <t xml:space="preserve">3RD PARTY </t>
  </si>
  <si>
    <t xml:space="preserve">trevor              </t>
  </si>
  <si>
    <t xml:space="preserve">AC TRUTER           </t>
  </si>
  <si>
    <t>theo</t>
  </si>
  <si>
    <t xml:space="preserve">BEIER ENVIROTEC     </t>
  </si>
  <si>
    <t xml:space="preserve">GOODMAN             </t>
  </si>
  <si>
    <t xml:space="preserve">D pillay            </t>
  </si>
  <si>
    <t xml:space="preserve">MICHAEL             </t>
  </si>
  <si>
    <t xml:space="preserve">Noluthando          </t>
  </si>
  <si>
    <t xml:space="preserve">ABERDARE CABLES PTY </t>
  </si>
  <si>
    <t xml:space="preserve">INGRID              </t>
  </si>
  <si>
    <t xml:space="preserve">Pam                 </t>
  </si>
  <si>
    <t xml:space="preserve"> L RICHARDSON</t>
  </si>
  <si>
    <t xml:space="preserve">dean                </t>
  </si>
  <si>
    <t xml:space="preserve">vishnu              </t>
  </si>
  <si>
    <t xml:space="preserve">johnny              </t>
  </si>
  <si>
    <t>SIG</t>
  </si>
  <si>
    <t xml:space="preserve">CURTIS              </t>
  </si>
  <si>
    <t xml:space="preserve">FRANS               </t>
  </si>
  <si>
    <t xml:space="preserve">CONCORD FOOD   DRUG </t>
  </si>
  <si>
    <t xml:space="preserve">PHILLIP             </t>
  </si>
  <si>
    <t xml:space="preserve">elishA              </t>
  </si>
  <si>
    <t xml:space="preserve">GARETH              </t>
  </si>
  <si>
    <t xml:space="preserve">gillian             </t>
  </si>
  <si>
    <t xml:space="preserve">TENNECO PLZ         </t>
  </si>
  <si>
    <t xml:space="preserve">sharril             </t>
  </si>
  <si>
    <t xml:space="preserve">TELLUMAT PTY LTD    </t>
  </si>
  <si>
    <t>JUDY</t>
  </si>
  <si>
    <t xml:space="preserve">Janelle             </t>
  </si>
  <si>
    <t xml:space="preserve">Wian                </t>
  </si>
  <si>
    <t xml:space="preserve">sasha               </t>
  </si>
  <si>
    <t xml:space="preserve">MbAli               </t>
  </si>
  <si>
    <t xml:space="preserve">miranda             </t>
  </si>
  <si>
    <t xml:space="preserve">MASSAMATIC PTY LTD  </t>
  </si>
  <si>
    <t xml:space="preserve">arnold              </t>
  </si>
  <si>
    <t xml:space="preserve">Martin              </t>
  </si>
  <si>
    <t xml:space="preserve">KPM CARGO - MULTIMO </t>
  </si>
  <si>
    <t xml:space="preserve">ROCKY               </t>
  </si>
  <si>
    <t xml:space="preserve">LYTTELTON DOLOMITE  </t>
  </si>
  <si>
    <t xml:space="preserve">NOMSA               </t>
  </si>
  <si>
    <t xml:space="preserve">moinah              </t>
  </si>
  <si>
    <t xml:space="preserve">minah               </t>
  </si>
  <si>
    <t>MIDDELBURG (Mpumalanga)</t>
  </si>
  <si>
    <t xml:space="preserve">SUPPLYTECH          </t>
  </si>
  <si>
    <t xml:space="preserve">RG BROSE AUTOMOTIVE </t>
  </si>
  <si>
    <t xml:space="preserve">J J                 </t>
  </si>
  <si>
    <t>UNIVERSAL AUTOMATION</t>
  </si>
  <si>
    <t>sizwe</t>
  </si>
  <si>
    <t xml:space="preserve">MARTIN   MARTIN PTY </t>
  </si>
  <si>
    <t xml:space="preserve">ELIZE               </t>
  </si>
  <si>
    <t xml:space="preserve">NARE                </t>
  </si>
  <si>
    <t xml:space="preserve">UNIVERSAL CLIPS     </t>
  </si>
  <si>
    <t xml:space="preserve">Johnny              </t>
  </si>
  <si>
    <t xml:space="preserve">mash                </t>
  </si>
  <si>
    <t xml:space="preserve"> David</t>
  </si>
  <si>
    <t xml:space="preserve">simon               </t>
  </si>
  <si>
    <t>DEBBIE</t>
  </si>
  <si>
    <t xml:space="preserve">AC PNEUMATICS       </t>
  </si>
  <si>
    <t xml:space="preserve">Dominic             </t>
  </si>
  <si>
    <t xml:space="preserve">DURIS               </t>
  </si>
  <si>
    <t xml:space="preserve">Anna                </t>
  </si>
  <si>
    <t xml:space="preserve">A BAZIER            </t>
  </si>
  <si>
    <t xml:space="preserve">maroux              </t>
  </si>
  <si>
    <t xml:space="preserve">sumeeth             </t>
  </si>
  <si>
    <t xml:space="preserve">Zethu               </t>
  </si>
  <si>
    <t xml:space="preserve">AMKA PRODUCTS       </t>
  </si>
  <si>
    <t xml:space="preserve">shaim               </t>
  </si>
  <si>
    <t xml:space="preserve">Johan               </t>
  </si>
  <si>
    <t>PARAMOUNT ADVACED TE</t>
  </si>
  <si>
    <t xml:space="preserve">kele                </t>
  </si>
  <si>
    <t xml:space="preserve">PHILIP              </t>
  </si>
  <si>
    <t xml:space="preserve">TUPPERWARE SA       </t>
  </si>
  <si>
    <t xml:space="preserve">Jacob               </t>
  </si>
  <si>
    <t xml:space="preserve">pearl               </t>
  </si>
  <si>
    <t>DNH MANUFACTURING (P</t>
  </si>
  <si>
    <t xml:space="preserve">robert              </t>
  </si>
  <si>
    <t xml:space="preserve">Wielus              </t>
  </si>
  <si>
    <t xml:space="preserve">KGOTSO              </t>
  </si>
  <si>
    <t xml:space="preserve">H V D MERWE         </t>
  </si>
  <si>
    <t xml:space="preserve">henry               </t>
  </si>
  <si>
    <t xml:space="preserve">ALPHEUS             </t>
  </si>
  <si>
    <t>UNILEVER S.A (PTY)LT</t>
  </si>
  <si>
    <t>VC AUTOMATION   INDU</t>
  </si>
  <si>
    <t xml:space="preserve">hamet               </t>
  </si>
  <si>
    <t xml:space="preserve">thulie              </t>
  </si>
  <si>
    <t xml:space="preserve">PHARMAPAC (PTY)LTD  </t>
  </si>
  <si>
    <t xml:space="preserve">Michelle            </t>
  </si>
  <si>
    <t>zach</t>
  </si>
  <si>
    <t>BAD ADDRESS</t>
  </si>
  <si>
    <t xml:space="preserve">PRINCE              </t>
  </si>
  <si>
    <t xml:space="preserve">ALLMARK FOOD        </t>
  </si>
  <si>
    <t>Jean</t>
  </si>
  <si>
    <t xml:space="preserve">MAKSAL TUBE PTY LTD </t>
  </si>
  <si>
    <t xml:space="preserve">NORA                </t>
  </si>
  <si>
    <t xml:space="preserve">Stephen             </t>
  </si>
  <si>
    <t xml:space="preserve">217069*411     </t>
  </si>
  <si>
    <t xml:space="preserve">Majriet             </t>
  </si>
  <si>
    <t xml:space="preserve">STACEY              </t>
  </si>
  <si>
    <t>QUALITEC ENGINEERING</t>
  </si>
  <si>
    <t xml:space="preserve">gilbert             </t>
  </si>
  <si>
    <t xml:space="preserve">RASHNI              </t>
  </si>
  <si>
    <t xml:space="preserve">ASPEN NUTRITIONALS  </t>
  </si>
  <si>
    <t xml:space="preserve">charles             </t>
  </si>
  <si>
    <t xml:space="preserve">m naidoi            </t>
  </si>
  <si>
    <t xml:space="preserve">CARLA               </t>
  </si>
  <si>
    <t xml:space="preserve">pauline             </t>
  </si>
  <si>
    <t>TONGAAT HULLETTS GRO</t>
  </si>
  <si>
    <t xml:space="preserve">thabile             </t>
  </si>
  <si>
    <t xml:space="preserve">Teboho              </t>
  </si>
  <si>
    <t>HYDRALOGIC HYDRAULIC</t>
  </si>
  <si>
    <t xml:space="preserve">Derrick             </t>
  </si>
  <si>
    <t xml:space="preserve">CONLOG PTY LTD      </t>
  </si>
  <si>
    <t xml:space="preserve">sivan               </t>
  </si>
  <si>
    <t xml:space="preserve">emma                </t>
  </si>
  <si>
    <t xml:space="preserve">ALDOR AFRICA        </t>
  </si>
  <si>
    <t xml:space="preserve">nthabiseng          </t>
  </si>
  <si>
    <t xml:space="preserve">Khotso              </t>
  </si>
  <si>
    <t>SPRINGS BEE GEE ELEC</t>
  </si>
  <si>
    <t xml:space="preserve">SOLLY               </t>
  </si>
  <si>
    <t>COMMUTER TRANSPORT E</t>
  </si>
  <si>
    <t>WESTONARIA</t>
  </si>
  <si>
    <t>WEST END CEMENT BRIC</t>
  </si>
  <si>
    <t xml:space="preserve">NEBANK         </t>
  </si>
  <si>
    <t xml:space="preserve">NEDBANK (NEDFLEET)  </t>
  </si>
  <si>
    <t xml:space="preserve">blessing            </t>
  </si>
  <si>
    <t xml:space="preserve">Bakker              </t>
  </si>
  <si>
    <t xml:space="preserve">POYTEL              </t>
  </si>
  <si>
    <t xml:space="preserve">OTENG               </t>
  </si>
  <si>
    <t>LODOX SYSTEMS (PTY)L</t>
  </si>
  <si>
    <t xml:space="preserve">michelle            </t>
  </si>
  <si>
    <t>PHALABORWA</t>
  </si>
  <si>
    <t>ALCO MINING AND INDU</t>
  </si>
  <si>
    <t xml:space="preserve">Sam                 </t>
  </si>
  <si>
    <t xml:space="preserve">CARNILINX PTY LTD   </t>
  </si>
  <si>
    <t xml:space="preserve">2170687168+    </t>
  </si>
  <si>
    <t>GRW ENGINERING</t>
  </si>
  <si>
    <t xml:space="preserve">jako                </t>
  </si>
  <si>
    <t xml:space="preserve">A Walters           </t>
  </si>
  <si>
    <t xml:space="preserve">cidney              </t>
  </si>
  <si>
    <t xml:space="preserve">N Afrika            </t>
  </si>
  <si>
    <t xml:space="preserve">DOMINIQUE           </t>
  </si>
  <si>
    <t>A.P.L CARTONS PTY LT</t>
  </si>
  <si>
    <t xml:space="preserve">Dwain               </t>
  </si>
  <si>
    <t xml:space="preserve">d matthee           </t>
  </si>
  <si>
    <t xml:space="preserve">LUMOTECH (PTY) LTD  </t>
  </si>
  <si>
    <t xml:space="preserve">JESSOP   ASSOCIATES </t>
  </si>
  <si>
    <t>C   M HYDRAULIC SERV</t>
  </si>
  <si>
    <t xml:space="preserve">willson             </t>
  </si>
  <si>
    <t xml:space="preserve">waven               </t>
  </si>
  <si>
    <t xml:space="preserve">ellestine           </t>
  </si>
  <si>
    <t xml:space="preserve">LEONI               </t>
  </si>
  <si>
    <t xml:space="preserve">NUMATICS SA         </t>
  </si>
  <si>
    <t xml:space="preserve">arotol              </t>
  </si>
  <si>
    <t xml:space="preserve">APPROPRIATE PROCESS </t>
  </si>
  <si>
    <t xml:space="preserve">piere               </t>
  </si>
  <si>
    <t xml:space="preserve">JAFTA               </t>
  </si>
  <si>
    <t>CONTROL SYSTEM INTEG</t>
  </si>
  <si>
    <t xml:space="preserve">Keorapetse          </t>
  </si>
  <si>
    <t xml:space="preserve">oratile             </t>
  </si>
  <si>
    <t xml:space="preserve">jacob               </t>
  </si>
  <si>
    <t xml:space="preserve">Wickus              </t>
  </si>
  <si>
    <t>COMFORT</t>
  </si>
  <si>
    <t xml:space="preserve">shireen             </t>
  </si>
  <si>
    <t xml:space="preserve">GOLDEN              </t>
  </si>
  <si>
    <t xml:space="preserve">AFRIPOWER PTY LTD   </t>
  </si>
  <si>
    <t>Bad address assist with contact number and person</t>
  </si>
  <si>
    <t xml:space="preserve">juliuas             </t>
  </si>
  <si>
    <t>PIONEER FOODS (PTY)L</t>
  </si>
  <si>
    <t xml:space="preserve">henrietta           </t>
  </si>
  <si>
    <t xml:space="preserve">ELLEN               </t>
  </si>
  <si>
    <t xml:space="preserve">Zizipho             </t>
  </si>
  <si>
    <t xml:space="preserve">aubrey              </t>
  </si>
  <si>
    <t>SAMCHEM DRILLING FLU</t>
  </si>
  <si>
    <t>MARGARET</t>
  </si>
  <si>
    <t>VOLCANO NON STICK CO</t>
  </si>
  <si>
    <t xml:space="preserve">beles               </t>
  </si>
  <si>
    <t xml:space="preserve">Bongani             </t>
  </si>
  <si>
    <t xml:space="preserve">m naidoo            </t>
  </si>
  <si>
    <t xml:space="preserve">Leon                </t>
  </si>
  <si>
    <t xml:space="preserve">Noluthada           </t>
  </si>
  <si>
    <t xml:space="preserve">MONDI LIMITED       </t>
  </si>
  <si>
    <t xml:space="preserve">Gabriel             </t>
  </si>
  <si>
    <t>FONTANA MANUFACTURER</t>
  </si>
  <si>
    <t xml:space="preserve">FREEDOM             </t>
  </si>
  <si>
    <t>TIGER BRANDS CHOCOLA</t>
  </si>
  <si>
    <t xml:space="preserve">akshay              </t>
  </si>
  <si>
    <t xml:space="preserve">derrick             </t>
  </si>
  <si>
    <t>ACTIVE ENTERPRISES C</t>
  </si>
  <si>
    <t xml:space="preserve">B  Huddle           </t>
  </si>
  <si>
    <t xml:space="preserve">R STRYDOM           </t>
  </si>
  <si>
    <t xml:space="preserve">derick              </t>
  </si>
  <si>
    <t xml:space="preserve">Dane                </t>
  </si>
  <si>
    <t>FINLAR FINE FOODS (P</t>
  </si>
  <si>
    <t xml:space="preserve">elrico              </t>
  </si>
  <si>
    <t xml:space="preserve">LEONARD             </t>
  </si>
  <si>
    <t>SIGNATURE</t>
  </si>
  <si>
    <t>AFRISAM SOUTH AFRICA</t>
  </si>
  <si>
    <t xml:space="preserve">Mongi               </t>
  </si>
  <si>
    <t xml:space="preserve">luthando            </t>
  </si>
  <si>
    <t xml:space="preserve">Joulien             </t>
  </si>
  <si>
    <t xml:space="preserve">PREMIER FOODS LTD   </t>
  </si>
  <si>
    <t xml:space="preserve">zahielo             </t>
  </si>
  <si>
    <t xml:space="preserve">percy               </t>
  </si>
  <si>
    <t xml:space="preserve">zahielio            </t>
  </si>
  <si>
    <t xml:space="preserve">Portia              </t>
  </si>
  <si>
    <t xml:space="preserve">T E keele           </t>
  </si>
  <si>
    <t xml:space="preserve">samson              </t>
  </si>
  <si>
    <t xml:space="preserve">ROTO PLASTICS       </t>
  </si>
  <si>
    <t xml:space="preserve">dannyboy            </t>
  </si>
  <si>
    <t>NDITSHENI</t>
  </si>
  <si>
    <t>D VILJOEN</t>
  </si>
  <si>
    <t xml:space="preserve">A NEL               </t>
  </si>
  <si>
    <t>PIETERSBURG</t>
  </si>
  <si>
    <t xml:space="preserve">CPC STSTEMS CC      </t>
  </si>
  <si>
    <t xml:space="preserve">sherne              </t>
  </si>
  <si>
    <t xml:space="preserve">audrey              </t>
  </si>
  <si>
    <t xml:space="preserve">LN AUTOMATION       </t>
  </si>
  <si>
    <t xml:space="preserve">s Muller            </t>
  </si>
  <si>
    <t xml:space="preserve">vuyo                </t>
  </si>
  <si>
    <t xml:space="preserve"> BINGO</t>
  </si>
  <si>
    <t xml:space="preserve">Client refused delivery duplicate order </t>
  </si>
  <si>
    <t xml:space="preserve">Jesika              </t>
  </si>
  <si>
    <t>H Robb</t>
  </si>
  <si>
    <t>ATC INNOVATION (PTY)</t>
  </si>
  <si>
    <t xml:space="preserve">BRIDGETTE M         </t>
  </si>
  <si>
    <t xml:space="preserve">RG MOTORPSORT CC    </t>
  </si>
  <si>
    <t xml:space="preserve">Stan                </t>
  </si>
  <si>
    <t xml:space="preserve">GRINAKER -LTA       </t>
  </si>
  <si>
    <t xml:space="preserve">m fatuse            </t>
  </si>
  <si>
    <t>DIPLICATE ORDER AS PER CONSIGNEE</t>
  </si>
  <si>
    <t>ISUZU MOTORS S.A (PT</t>
  </si>
  <si>
    <t xml:space="preserve">TECHNOVAA PACKAGING </t>
  </si>
  <si>
    <t>A P L  CARTONS  PTY  LTD</t>
  </si>
  <si>
    <t>GLOBE WITBANK MULTIL</t>
  </si>
  <si>
    <t xml:space="preserve">SYBRAND             </t>
  </si>
  <si>
    <t xml:space="preserve">SINAZO              </t>
  </si>
  <si>
    <t>CIPLA MEDPRO SOUTH A</t>
  </si>
  <si>
    <t xml:space="preserve">siyabulele          </t>
  </si>
  <si>
    <t xml:space="preserve">GRAMEC PTY LTD      </t>
  </si>
  <si>
    <t>POTGIETERSRUS</t>
  </si>
  <si>
    <t>ZEBEDIELA BRICKS (PT</t>
  </si>
  <si>
    <t xml:space="preserve">NAMPAK CLOSURES     </t>
  </si>
  <si>
    <t xml:space="preserve">VINAY               </t>
  </si>
  <si>
    <t xml:space="preserve">SFISO               </t>
  </si>
  <si>
    <t>linda</t>
  </si>
  <si>
    <t xml:space="preserve">MPACT PLASTICS      </t>
  </si>
  <si>
    <t xml:space="preserve">GUD HOLDINGS PE     </t>
  </si>
  <si>
    <t xml:space="preserve">Babalwa             </t>
  </si>
  <si>
    <t xml:space="preserve">Otty                </t>
  </si>
  <si>
    <t xml:space="preserve">Msa                 </t>
  </si>
  <si>
    <t xml:space="preserve">P HAWKINS           </t>
  </si>
  <si>
    <t xml:space="preserve">DANDY               </t>
  </si>
  <si>
    <t xml:space="preserve">NET LOGISTICS       </t>
  </si>
  <si>
    <t xml:space="preserve">NEW STYLE PRK       </t>
  </si>
  <si>
    <t xml:space="preserve">AER O CURE CC       </t>
  </si>
  <si>
    <t xml:space="preserve">corbin              </t>
  </si>
  <si>
    <t xml:space="preserve">elizabeth           </t>
  </si>
  <si>
    <t xml:space="preserve">BOIKIE              </t>
  </si>
  <si>
    <t>ECHAR CONSTRACTION E</t>
  </si>
  <si>
    <t xml:space="preserve">megan               </t>
  </si>
  <si>
    <t xml:space="preserve">JNB19258220426 </t>
  </si>
  <si>
    <t>REFER FES116289</t>
  </si>
  <si>
    <t>OUT ON DELIVER TO DAY 24/ 05 /2019</t>
  </si>
  <si>
    <t>HULAMIN OPERATIONS P</t>
  </si>
  <si>
    <t>24/05/2019 16:12:54 NGF CPT POD confirmed on NTS</t>
  </si>
  <si>
    <t>24/05/2019 20:01:08 TTS CPT Del data to AND</t>
  </si>
  <si>
    <t xml:space="preserve">Thami S             </t>
  </si>
  <si>
    <t>24/05/2019 13:25:36 SYSTEM  POD Upload Android</t>
  </si>
  <si>
    <t xml:space="preserve">PVT                 </t>
  </si>
  <si>
    <t>27/05/2019 07:20:10 TTS PRY Del data to AND</t>
  </si>
  <si>
    <t>24/05/2019 16:08:13 NGF CPT POD confirmed on NTS</t>
  </si>
  <si>
    <t>24/05/2019 16:39:57 jam CPT POD confirmed on NTS</t>
  </si>
  <si>
    <t xml:space="preserve">MISHKA              </t>
  </si>
  <si>
    <t>24/05/2019 16:09:18 NGF CPT POD confirmed on NTS</t>
  </si>
  <si>
    <t xml:space="preserve">tertius             </t>
  </si>
  <si>
    <t>24/05/2019 16:11:54 NGF CPT POD confirmed on NTS</t>
  </si>
  <si>
    <t xml:space="preserve">dwayne              </t>
  </si>
  <si>
    <t>24/05/2019 18:43:14 NGF CPT POD confirmed on NTS</t>
  </si>
  <si>
    <t>24/05/2019 21:10:29 seb GRJ POD confirmed on NTS</t>
  </si>
  <si>
    <t>24/05/2019 19:16:52 jam CPT POD confirmed on NTS</t>
  </si>
  <si>
    <t>24/05/2019 16:13:01 NGF CPT POD confirmed on NTS</t>
  </si>
  <si>
    <t xml:space="preserve">Terence             </t>
  </si>
  <si>
    <t>24/05/2019 17:50:33 NGF CPT POD confirmed on NTS</t>
  </si>
  <si>
    <t xml:space="preserve">Robin               </t>
  </si>
  <si>
    <t>24/05/2019 15:42:07 jam CPT POD confirmed on NTS</t>
  </si>
  <si>
    <t xml:space="preserve">David               </t>
  </si>
  <si>
    <t>24/05/2019 17:12:07 NGF CPT POD confirmed on NTS</t>
  </si>
  <si>
    <t xml:space="preserve">A LUZELLER          </t>
  </si>
  <si>
    <t xml:space="preserve">SAFRIPOL            </t>
  </si>
  <si>
    <t xml:space="preserve">Bonga               </t>
  </si>
  <si>
    <t xml:space="preserve">Rochelle            </t>
  </si>
  <si>
    <t>24/05/2019 16:04:22 lin PLZ POD confirmed on NTS</t>
  </si>
  <si>
    <t>24/05/2019 17:55:15 lin PLZ POD confirmed on NTS</t>
  </si>
  <si>
    <t>24/05/2019 16:12:35 NGF CPT POD confirmed on NTS</t>
  </si>
  <si>
    <t xml:space="preserve">iviwe               </t>
  </si>
  <si>
    <t>24/05/2019 16:04:05 lin PLZ POD confirmed on NTS</t>
  </si>
  <si>
    <t>24/05/2019 16:39:31 jam CPT POD confirmed on NTS</t>
  </si>
  <si>
    <t>24/05/2019 12:21:00 sim ELS POD confirmed on NTS</t>
  </si>
  <si>
    <t>24/05/2019 15:26:11 jam CPT POD confirmed on NTS</t>
  </si>
  <si>
    <t>RICCLA 1715 (PTY) LT</t>
  </si>
  <si>
    <t>RICCLA 1715  PTY  LT</t>
  </si>
  <si>
    <t>24/05/2019 17:01:51 let JNX POD confirmed on NTS</t>
  </si>
  <si>
    <t xml:space="preserve">strydom             </t>
  </si>
  <si>
    <t>24/05/2019 16:31:26 AVW ELS POD confirmed on NTS</t>
  </si>
  <si>
    <t>24/05/2019 16:03:38 lin PLZ POD confirmed on NTS</t>
  </si>
  <si>
    <t>24/05/2019 16:03:12 lin PLZ POD confirmed on NTS</t>
  </si>
  <si>
    <t>24/05/2019 17:35:31 NGF CPT POD confirmed on NTS</t>
  </si>
  <si>
    <t>27/05/2019 08:26:08 gah CPT Packed into veh</t>
  </si>
  <si>
    <t>24/05/2019 15:33:28 moo PRY POD confirmed on NTS</t>
  </si>
  <si>
    <t>24/05/2019 17:35:21 NGF CPT POD confirmed on NTS</t>
  </si>
  <si>
    <t xml:space="preserve">Anne Mary           </t>
  </si>
  <si>
    <t>24/05/2019 14:08:07 ssh DUR POD confirmed on NTS</t>
  </si>
  <si>
    <t>24/05/2019 16:34:02 NIS PZB POD confirmed on NTS</t>
  </si>
  <si>
    <t xml:space="preserve">krolean             </t>
  </si>
  <si>
    <t>24/05/2019 13:53:40 ssh DUR POD confirmed on NTS</t>
  </si>
  <si>
    <t xml:space="preserve">MIMI                </t>
  </si>
  <si>
    <t>24/05/2019 17:38:50 let JNX POD confirmed on NTS</t>
  </si>
  <si>
    <t xml:space="preserve">SILAS               </t>
  </si>
  <si>
    <t xml:space="preserve">charl               </t>
  </si>
  <si>
    <t>24/05/2019 17:50:40 NGF CPT POD confirmed on NTS</t>
  </si>
  <si>
    <t>24/05/2019 17:50:45 NGF CPT POD confirmed on NTS</t>
  </si>
  <si>
    <t>24/05/2019 17:35:18 NGF CPT POD confirmed on NTS</t>
  </si>
  <si>
    <t xml:space="preserve">JEFFREY             </t>
  </si>
  <si>
    <t>24/05/2019 15:47:27 teb PRY POD confirmed on NTS</t>
  </si>
  <si>
    <t>24/05/2019 15:33:33 moo PRY POD confirmed on NTS</t>
  </si>
  <si>
    <t>24/05/2019 17:04:20 ADR BEH POD confirmed on NTS</t>
  </si>
  <si>
    <t xml:space="preserve">FESTO PRETORIA      </t>
  </si>
  <si>
    <t xml:space="preserve">lucia               </t>
  </si>
  <si>
    <t xml:space="preserve">Brenda              </t>
  </si>
  <si>
    <t>24/05/2019 16:29:30 blm PRY POD confirmed on NTS</t>
  </si>
  <si>
    <t>27/05/2019 08:42:33 shm PRY Scanned into cage/bay</t>
  </si>
  <si>
    <t>UNIVERSITY OF PRETOR</t>
  </si>
  <si>
    <t>ETVAAL MEUBELVERVAAR</t>
  </si>
  <si>
    <t xml:space="preserve">A  Coetzee          </t>
  </si>
  <si>
    <t xml:space="preserve">EUGENE              </t>
  </si>
  <si>
    <t>24/05/2019 18:14:04 teb PRY POD confirmed on NTS</t>
  </si>
  <si>
    <t xml:space="preserve">samwalt             </t>
  </si>
  <si>
    <t>24/05/2019 13:53:23 ssh DUR POD confirmed on NTS</t>
  </si>
  <si>
    <t>24/05/2019 21:04:31 seb GRJ POD confirmed on NTS</t>
  </si>
  <si>
    <t>24/05/2019 16:11:48 NGF CPT POD confirmed on NTS</t>
  </si>
  <si>
    <t xml:space="preserve">TERTIUS             </t>
  </si>
  <si>
    <t>24/05/2019 16:12:10 NGF CPT POD confirmed on NTS</t>
  </si>
  <si>
    <t>24/05/2019 18:14:26 teb PRY POD confirmed on NTS</t>
  </si>
  <si>
    <t>24/05/2019 16:11:42 NGF CPT POD confirmed on NTS</t>
  </si>
  <si>
    <t>24/05/2019 16:07:53 NGF CPT POD confirmed on NTS</t>
  </si>
  <si>
    <t>24/05/2019 21:10:21 seb GRJ POD confirmed on NTS</t>
  </si>
  <si>
    <t>24/05/2019 16:31:19 AVW ELS POD confirmed on NTS</t>
  </si>
  <si>
    <t>24/05/2019 17:55:23 lin PLZ POD confirmed on NTS</t>
  </si>
  <si>
    <t xml:space="preserve">SAMSON M            </t>
  </si>
  <si>
    <t>24/05/2019 15:46:49 teb PRY POD confirmed on NTS</t>
  </si>
  <si>
    <t xml:space="preserve">r romadu            </t>
  </si>
  <si>
    <t>24/05/2019 12:28:23 ssh DUR POD confirmed on NTS</t>
  </si>
  <si>
    <t>24/05/2019 17:03:44 phd PRY Allocated for del</t>
  </si>
  <si>
    <t>24/05/2019 17:28:08 NIS PZB POD confirmed on NTS</t>
  </si>
  <si>
    <t>24/05/2019 12:08:05 ssh DUR POD confirmed on NTS</t>
  </si>
  <si>
    <t>24/05/2019 13:53:31 ssh DUR POD confirmed on NTS</t>
  </si>
  <si>
    <t>24/05/2019 16:12:28 NGF CPT POD confirmed on NTS</t>
  </si>
  <si>
    <t>24/05/2019 11:15:26 IRE BEH POD confirmed on NTS</t>
  </si>
  <si>
    <t>24/05/2019 12:39:27 ssh DUR POD confirmed on NTS</t>
  </si>
  <si>
    <t>24/05/2019 12:39:48 ssh DUR POD confirmed on NTS</t>
  </si>
  <si>
    <t>24/05/2019 13:12:30 ssh DUR POD confirmed on NTS</t>
  </si>
  <si>
    <t>24/05/2019 18:15:54 UAT PLZ POD confirmed on NTS</t>
  </si>
  <si>
    <t>24/05/2019 17:35:10 NGF CPT POD confirmed on NTS</t>
  </si>
  <si>
    <t xml:space="preserve">SHONES AUTOMATION   </t>
  </si>
  <si>
    <t xml:space="preserve">werner              </t>
  </si>
  <si>
    <t>24/05/2019 11:24:08 tnv ELS POD confirmed on NTS</t>
  </si>
  <si>
    <t>24/05/2019 18:15:35 UAT PLZ POD confirmed on NTS</t>
  </si>
  <si>
    <t>24/05/2019 12:18:56 ssh DUR POD confirmed on NTS</t>
  </si>
  <si>
    <t>24/05/2019 13:04:35 ssh DUR POD confirmed on NTS</t>
  </si>
  <si>
    <t>PRIME INSTRUMENTATIO</t>
  </si>
  <si>
    <t xml:space="preserve">rene                </t>
  </si>
  <si>
    <t>24/05/2019 14:23:28 nks RBG POD confirmed on NTS</t>
  </si>
  <si>
    <t>24/05/2019 12:39:53 ssh DUR POD confirmed on NTS</t>
  </si>
  <si>
    <t>24/05/2019 12:21:31 sim ELS POD confirmed on NTS</t>
  </si>
  <si>
    <t>24/05/2019 18:24:37 UAT PLZ POD confirmed on NTS</t>
  </si>
  <si>
    <t>24/05/2019 18:24:31 UAT PLZ POD confirmed on NTS</t>
  </si>
  <si>
    <t xml:space="preserve">graeme              </t>
  </si>
  <si>
    <t>24/05/2019 17:38:08 UAT PLZ POD confirmed on NTS</t>
  </si>
  <si>
    <t>24/05/2019 18:24:20 UAT PLZ POD confirmed on NTS</t>
  </si>
  <si>
    <t xml:space="preserve">collin              </t>
  </si>
  <si>
    <t>24/05/2019 17:12:15 NIS PZB POD confirmed on NTS</t>
  </si>
  <si>
    <t>24/05/2019 12:07:57 ssh DUR POD confirmed on NTS</t>
  </si>
  <si>
    <t>24/05/2019 13:04:51 ssh DUR POD confirmed on NTS</t>
  </si>
  <si>
    <t xml:space="preserve">Edward              </t>
  </si>
  <si>
    <t>24/05/2019 18:02:07 UAT PLZ POD confirmed on NTS</t>
  </si>
  <si>
    <t>24/05/2019 13:11:55 ssh DUR POD confirmed on NTS</t>
  </si>
  <si>
    <t>ZIPCORD INDUSTRIES (</t>
  </si>
  <si>
    <t xml:space="preserve">Siba                </t>
  </si>
  <si>
    <t>24/05/2019 15:32:35 moo PRY POD confirmed on NTS</t>
  </si>
  <si>
    <t>24/05/2019 18:03:34 UAT PLZ POD confirmed on NTS</t>
  </si>
  <si>
    <t>24/05/2019 15:33:23 moo PRY POD confirmed on NTS</t>
  </si>
  <si>
    <t>24/05/2019 15:33:44 moo PRY POD confirmed on NTS</t>
  </si>
  <si>
    <t>24/05/2019 16:01:33 jam CPT POD confirmed on NTS</t>
  </si>
  <si>
    <t xml:space="preserve">zaza                </t>
  </si>
  <si>
    <t>24/05/2019 16:19:12 nks RBG POD confirmed on NTS</t>
  </si>
  <si>
    <t>24/05/2019 16:33:47 NIS PZB POD confirmed on NTS</t>
  </si>
  <si>
    <t>24/05/2019 16:12:00 NGF CPT POD confirmed on NTS</t>
  </si>
  <si>
    <t xml:space="preserve">CHW DESIGN CC       </t>
  </si>
  <si>
    <t>24/05/2019 17:50:50 NGF CPT POD confirmed on NTS</t>
  </si>
  <si>
    <t>24/05/2019 18:24:13 UAT PLZ POD confirmed on NTS</t>
  </si>
  <si>
    <t xml:space="preserve">MICHELLE            </t>
  </si>
  <si>
    <t>24/05/2019 15:35:11 avw ELS POD confirmed on NTS</t>
  </si>
  <si>
    <t xml:space="preserve">ncebekazi           </t>
  </si>
  <si>
    <t>24/05/2019 11:23:45 tnv ELS POD confirmed on NTS</t>
  </si>
  <si>
    <t>24/05/2019 17:27:48 NIS PZB POD confirmed on NTS</t>
  </si>
  <si>
    <t>24/05/2019 16:02:29 lin PLZ POD confirmed on NTS</t>
  </si>
  <si>
    <t>24/05/2019 11:15:02 IRE BEH POD confirmed on NTS</t>
  </si>
  <si>
    <t xml:space="preserve">sahiela             </t>
  </si>
  <si>
    <t>24/05/2019 12:19:09 ssh DUR POD confirmed on NTS</t>
  </si>
  <si>
    <t>24/05/2019 15:47:15 teb PRY POD confirmed on NTS</t>
  </si>
  <si>
    <t>24/05/2019 12:39:33 ssh DUR POD confirmed on NTS</t>
  </si>
  <si>
    <t>24/05/2019 14:08:21 ssh DUR POD confirmed on NTS</t>
  </si>
  <si>
    <t>24/05/2019 13:12:12 ssh DUR POD confirmed on NTS</t>
  </si>
  <si>
    <t>24/05/2019 15:20:31 nks RBG POD confirmed on NTS</t>
  </si>
  <si>
    <t>24/05/2019 14:08:14 ssh DUR POD confirmed on NTS</t>
  </si>
  <si>
    <t>24/05/2019 18:03:40 UAT PLZ POD confirmed on NTS</t>
  </si>
  <si>
    <t>24/05/2019 17:35:36 NGF CPT POD confirmed on NTS</t>
  </si>
  <si>
    <t>SA SUGAR ASSOCIATION</t>
  </si>
  <si>
    <t xml:space="preserve">norman              </t>
  </si>
  <si>
    <t>24/05/2019 12:06:45 ssh DUR POD confirmed on NTS</t>
  </si>
  <si>
    <t xml:space="preserve">mnaidoo             </t>
  </si>
  <si>
    <t>24/05/2019 16:34:45 NIS PZB POD confirmed on NTS</t>
  </si>
  <si>
    <t>UNIQUE DAIRY PRODUCT</t>
  </si>
  <si>
    <t>24/05/2019 16:56:50 moo PRY POD confirmed on NTS</t>
  </si>
  <si>
    <t>24/05/2019 17:27:58 NIS PZB POD confirmed on NTS</t>
  </si>
  <si>
    <t>24/05/2019 13:07:03 ssh DUR POD confirmed on NTS</t>
  </si>
  <si>
    <t xml:space="preserve">Bonny               </t>
  </si>
  <si>
    <t>24/05/2019 13:12:40 ssh DUR POD confirmed on NTS</t>
  </si>
  <si>
    <t xml:space="preserve">CATRIDGE DEPOT CC   </t>
  </si>
  <si>
    <t xml:space="preserve">Sarel               </t>
  </si>
  <si>
    <t>24/05/2019 18:20:18 moo PRY POD confirmed on NTS</t>
  </si>
  <si>
    <t>PEAKERS OPERATION PT</t>
  </si>
  <si>
    <t xml:space="preserve">Sthabile            </t>
  </si>
  <si>
    <t>OUT ON DELIVER TO DAY 27/ 05 /2019</t>
  </si>
  <si>
    <t xml:space="preserve">doreen              </t>
  </si>
  <si>
    <t>27/05/2019 18:03:41 ssh DUR POD confirmed on NTS</t>
  </si>
  <si>
    <t>PACIFIC FLUID COMPON</t>
  </si>
  <si>
    <t xml:space="preserve">T Naidoo            </t>
  </si>
  <si>
    <t>27/05/2019 13:31:30 ssh DUR POD confirmed on NTS</t>
  </si>
  <si>
    <t>28/05/2019 07:49:14 TTS PRY Del data to AND</t>
  </si>
  <si>
    <t>27/05/2019 17:02:27 ltt RBG POD confirmed on NTS</t>
  </si>
  <si>
    <t>27/05/2019 17:02:05 ltt RBG POD confirmed on NTS</t>
  </si>
  <si>
    <t>27/05/2019 17:02:17 ltt RBG POD confirmed on NTS</t>
  </si>
  <si>
    <t>27/05/2019 16:48:58 NIS PZB POD confirmed on NTS</t>
  </si>
  <si>
    <t>27/05/2019 16:12:24 teb PRY POD confirmed on NTS</t>
  </si>
  <si>
    <t>27/05/2019 17:01:23 ltt RBG POD confirmed on NTS</t>
  </si>
  <si>
    <t xml:space="preserve">DEWAN               </t>
  </si>
  <si>
    <t>27/05/2019 12:24:39 NGF CPT POD confirmed on NTS</t>
  </si>
  <si>
    <t xml:space="preserve">m crause            </t>
  </si>
  <si>
    <t>27/05/2019 18:53:12 teb PRY POD confirmed on NTS</t>
  </si>
  <si>
    <t xml:space="preserve">L LE RICHE          </t>
  </si>
  <si>
    <t>27/05/2019 16:38:44 jam CPT POD confirmed on NTS</t>
  </si>
  <si>
    <t>27/05/2019 16:17:34 jam CPT POD confirmed on NTS</t>
  </si>
  <si>
    <t>27/05/2019 16:12:10 teb PRY POD confirmed on NTS</t>
  </si>
  <si>
    <t>27/05/2019 16:37:28 jam CPT POD confirmed on NTS</t>
  </si>
  <si>
    <t>27/05/2019 16:13:48 jam CPT POD confirmed on NTS</t>
  </si>
  <si>
    <t>27/05/2019 17:56:06 lin PLZ POD confirmed on NTS</t>
  </si>
  <si>
    <t>27/05/2019 13:36:40 sim ELS POD confirmed on NTS</t>
  </si>
  <si>
    <t>27/05/2019 18:15:43 NGF CPT POD confirmed on NTS</t>
  </si>
  <si>
    <t xml:space="preserve">s muller            </t>
  </si>
  <si>
    <t>27/05/2019 18:33:58 UAT PLZ POD confirmed on NTS</t>
  </si>
  <si>
    <t xml:space="preserve">Anita               </t>
  </si>
  <si>
    <t>27/05/2019 16:36:37 jam CPT POD confirmed on NTS</t>
  </si>
  <si>
    <t>27/05/2019 16:37:01 jam CPT POD confirmed on NTS</t>
  </si>
  <si>
    <t>27/05/2019 16:37:38 jam CPT POD confirmed on NTS</t>
  </si>
  <si>
    <t>27/05/2019 15:59:01 NGF CPT POD confirmed on NTS</t>
  </si>
  <si>
    <t>27/05/2019 17:31:55 NIS PZB POD confirmed on NTS</t>
  </si>
  <si>
    <t xml:space="preserve">LWELLYN             </t>
  </si>
  <si>
    <t>27/05/2019 17:19:29 NIS PZB POD confirmed on NTS</t>
  </si>
  <si>
    <t>27/05/2019 12:39:42 ssh DUR POD confirmed on NTS</t>
  </si>
  <si>
    <t>27/05/2019 17:20:34 ssh DUR POD confirmed on NTS</t>
  </si>
  <si>
    <t xml:space="preserve">ESKORT LTD          </t>
  </si>
  <si>
    <t xml:space="preserve">DIRESH              </t>
  </si>
  <si>
    <t>27/05/2019 16:12:24 NIS PZB POD confirmed on NTS</t>
  </si>
  <si>
    <t>27/05/2019 15:14:59 ssh DUR POD confirmed on NTS</t>
  </si>
  <si>
    <t xml:space="preserve">zinhle              </t>
  </si>
  <si>
    <t>27/05/2019 18:04:05 ssh DUR POD confirmed on NTS</t>
  </si>
  <si>
    <t>27/05/2019 12:18:16 ssh DUR POD confirmed on NTS</t>
  </si>
  <si>
    <t>27/05/2019 18:21:40 UAT PLZ POD confirmed on NTS</t>
  </si>
  <si>
    <t>27/05/2019 18:01:02 UAT PLZ POD confirmed on NTS</t>
  </si>
  <si>
    <t>27/05/2019 18:02:20 UAT PLZ POD confirmed on NTS</t>
  </si>
  <si>
    <t>EAGLES VALLEY POULTR</t>
  </si>
  <si>
    <t>TRACPART MINING SUPP</t>
  </si>
  <si>
    <t xml:space="preserve">JONFY               </t>
  </si>
  <si>
    <t>27/05/2019 17:09:44 HAP WIT POD confirmed on NTS</t>
  </si>
  <si>
    <t>27/05/2019 18:01:14 UAT PLZ POD confirmed on NTS</t>
  </si>
  <si>
    <t>27/05/2019 17:16:34 NGF CPT POD confirmed on NTS</t>
  </si>
  <si>
    <t>27/05/2019 18:17:13 UAT PLZ POD confirmed on NTS</t>
  </si>
  <si>
    <t>27/05/2019 17:55:49 lin PLZ POD confirmed on NTS</t>
  </si>
  <si>
    <t>27/05/2019 17:16:39 NGF CPT POD confirmed on NTS</t>
  </si>
  <si>
    <t xml:space="preserve">samson m            </t>
  </si>
  <si>
    <t>27/05/2019 16:11:22 teb PRY POD confirmed on NTS</t>
  </si>
  <si>
    <t xml:space="preserve">CONTROL SYSTEMS     </t>
  </si>
  <si>
    <t>27/05/2019 15:36:46 nks RBG POD confirmed on NTS</t>
  </si>
  <si>
    <t>27/05/2019 17:01:54 ltt RBG POD confirmed on NTS</t>
  </si>
  <si>
    <t>27/05/2019 16:44:32 moo PRY POD confirmed on NTS</t>
  </si>
  <si>
    <t xml:space="preserve">Patra               </t>
  </si>
  <si>
    <t>27/05/2019 16:43:16 moo PRY POD confirmed on NTS</t>
  </si>
  <si>
    <t xml:space="preserve">cele                </t>
  </si>
  <si>
    <t>27/05/2019 14:49:11 ssh DUR POD confirmed on NTS</t>
  </si>
  <si>
    <t>27/05/2019 17:31:34 NIS PZB POD confirmed on NTS</t>
  </si>
  <si>
    <t>27/05/2019 12:14:31 sim ELS POD confirmed on NTS</t>
  </si>
  <si>
    <t>27/05/2019 17:30:59 jam CPT POD confirmed on NTS</t>
  </si>
  <si>
    <t xml:space="preserve">S4 AUTOMATION (PTY) </t>
  </si>
  <si>
    <t>Consignee not avail</t>
  </si>
  <si>
    <t>ZETTY ELECTRICAL WHO</t>
  </si>
  <si>
    <t xml:space="preserve">Ali                 </t>
  </si>
  <si>
    <t>27/05/2019 16:44:59 moo PRY POD confirmed on NTS</t>
  </si>
  <si>
    <t xml:space="preserve">geroge              </t>
  </si>
  <si>
    <t>27/05/2019 17:02:39 ltt RBG POD confirmed on NTS</t>
  </si>
  <si>
    <t>27/05/2019 18:51:44 moo PRY POD confirmed on NTS</t>
  </si>
  <si>
    <t>27/05/2019 18:27:17 jam CPT POD confirmed on NTS</t>
  </si>
  <si>
    <t xml:space="preserve">annah               </t>
  </si>
  <si>
    <t>27/05/2019 18:08:55 moo PRY POD confirmed on NTS</t>
  </si>
  <si>
    <t xml:space="preserve">c jacobs            </t>
  </si>
  <si>
    <t>27/05/2019 16:17:48 teb PRY POD confirmed on NTS</t>
  </si>
  <si>
    <t xml:space="preserve">NJABULO             </t>
  </si>
  <si>
    <t>27/05/2019 17:20:33 NIS PZB POD confirmed on NTS</t>
  </si>
  <si>
    <t xml:space="preserve">kennifer            </t>
  </si>
  <si>
    <t>27/05/2019 18:14:19 ssh DUR POD confirmed on NTS</t>
  </si>
  <si>
    <t>27/05/2019 18:01:08 UAT PLZ POD confirmed on NTS</t>
  </si>
  <si>
    <t>27/05/2019 18:02:11 UAT PLZ POD confirmed on NTS</t>
  </si>
  <si>
    <t>27/05/2019 16:17:16 jam CPT POD confirmed on NTS</t>
  </si>
  <si>
    <t xml:space="preserve">CLINTON             </t>
  </si>
  <si>
    <t>27/05/2019 18:13:01 jam CPT POD confirmed on NTS</t>
  </si>
  <si>
    <t>SAR ELECTRONIC SA PT</t>
  </si>
  <si>
    <t xml:space="preserve">friddah             </t>
  </si>
  <si>
    <t>27/05/2019 17:11:55 moo PRY POD confirmed on NTS</t>
  </si>
  <si>
    <t>AMOPACK CAN MANUFACT</t>
  </si>
  <si>
    <t xml:space="preserve">zaheer              </t>
  </si>
  <si>
    <t>27/05/2019 18:00:19 moo PRY POD confirmed on NTS</t>
  </si>
  <si>
    <t>27/05/2019 17:12:06 moo PRY POD confirmed on NTS</t>
  </si>
  <si>
    <t xml:space="preserve">mahlatse            </t>
  </si>
  <si>
    <t>SILVERTON MANUFASCTU</t>
  </si>
  <si>
    <t>27/05/2019 16:05:39 blm PRY POD confirmed on NTS</t>
  </si>
  <si>
    <t>27/05/2019 16:16:39 jam CPT POD confirmed on NTS</t>
  </si>
  <si>
    <t>27/05/2019 17:09:40 NGF CPT POD confirmed on NTS</t>
  </si>
  <si>
    <t>WICTRA HOLDINGS DURB</t>
  </si>
  <si>
    <t>OUT ON DELIVER TO DAY 28/ 05 /2019</t>
  </si>
  <si>
    <t>27/05/2019 17:20:24 ssh DUR POD confirmed on NTS</t>
  </si>
  <si>
    <t>27/05/2019 12:36:15 ssh DUR POD confirmed on NTS</t>
  </si>
  <si>
    <t>BLUE RIBBON BAKERY C</t>
  </si>
  <si>
    <t xml:space="preserve">BMS ENGINEERING     </t>
  </si>
  <si>
    <t>BURCAP PLASTIC PTY L</t>
  </si>
  <si>
    <t>E.S.P. MONITORING CC</t>
  </si>
  <si>
    <t>Mavtech Technologies</t>
  </si>
  <si>
    <t xml:space="preserve">AMARO FOODS         </t>
  </si>
  <si>
    <t xml:space="preserve">WARSHAY INVESTMENTS </t>
  </si>
  <si>
    <t xml:space="preserve">217069041+6    </t>
  </si>
  <si>
    <t>DBC</t>
  </si>
  <si>
    <t xml:space="preserve">INK JET PRINTERS    </t>
  </si>
  <si>
    <t xml:space="preserve">XYMECH (PTY)LTD     </t>
  </si>
  <si>
    <t>FISCHER STAINLESS ST</t>
  </si>
  <si>
    <t>CHILL BEVERAGES INTE</t>
  </si>
  <si>
    <t>MACSTEEL FLUID CONTR</t>
  </si>
  <si>
    <t xml:space="preserve">TECTRA AUTOMATION   </t>
  </si>
  <si>
    <t xml:space="preserve">dino                </t>
  </si>
  <si>
    <t xml:space="preserve">SANDI               </t>
  </si>
  <si>
    <t xml:space="preserve">GUGU                </t>
  </si>
  <si>
    <t xml:space="preserve">MLEDU               </t>
  </si>
  <si>
    <t xml:space="preserve">J  Walker           </t>
  </si>
  <si>
    <t xml:space="preserve">REVLON SA           </t>
  </si>
  <si>
    <t xml:space="preserve">VIOLET              </t>
  </si>
  <si>
    <t xml:space="preserve">NANDIPHA            </t>
  </si>
  <si>
    <t xml:space="preserve">DZAYLO              </t>
  </si>
  <si>
    <t xml:space="preserve">CTP GRAVURE         </t>
  </si>
  <si>
    <t xml:space="preserve">beverley            </t>
  </si>
  <si>
    <t xml:space="preserve">julius              </t>
  </si>
  <si>
    <t xml:space="preserve">silance             </t>
  </si>
  <si>
    <t xml:space="preserve">Aron                </t>
  </si>
  <si>
    <t xml:space="preserve">BANTEX SA           </t>
  </si>
  <si>
    <t xml:space="preserve">starmor             </t>
  </si>
  <si>
    <t>CIRCUIT INDUSTRIAL S</t>
  </si>
  <si>
    <t xml:space="preserve">SABRINA             </t>
  </si>
  <si>
    <t xml:space="preserve">SILENCE             </t>
  </si>
  <si>
    <t xml:space="preserve">Bothi               </t>
  </si>
  <si>
    <t xml:space="preserve">Eileen              </t>
  </si>
  <si>
    <t xml:space="preserve">MAZUI               </t>
  </si>
  <si>
    <t>SELONA INTERNATIONAL</t>
  </si>
  <si>
    <t xml:space="preserve">christi             </t>
  </si>
  <si>
    <t xml:space="preserve">judelize            </t>
  </si>
  <si>
    <t xml:space="preserve">THE SIMBA GROUP PTY </t>
  </si>
  <si>
    <t xml:space="preserve">LEBELO              </t>
  </si>
  <si>
    <t xml:space="preserve">PETER               </t>
  </si>
  <si>
    <t xml:space="preserve">ABERDER CABLES      </t>
  </si>
  <si>
    <t xml:space="preserve">mesia               </t>
  </si>
  <si>
    <t xml:space="preserve">s hopper            </t>
  </si>
  <si>
    <t xml:space="preserve">DES GROUP PTY LTD   </t>
  </si>
  <si>
    <t xml:space="preserve">jenny               </t>
  </si>
  <si>
    <t>PSA TECHNOLOGY GROUP</t>
  </si>
  <si>
    <t xml:space="preserve">Thuli               </t>
  </si>
  <si>
    <t xml:space="preserve">Marius              </t>
  </si>
  <si>
    <t xml:space="preserve">Agnes               </t>
  </si>
  <si>
    <t xml:space="preserve">LUCAS               </t>
  </si>
  <si>
    <t xml:space="preserve">bongs               </t>
  </si>
  <si>
    <t xml:space="preserve">philmon             </t>
  </si>
  <si>
    <t xml:space="preserve">THABISO             </t>
  </si>
  <si>
    <t xml:space="preserve">TALI DISGITAL CC    </t>
  </si>
  <si>
    <t xml:space="preserve">koketso             </t>
  </si>
  <si>
    <t xml:space="preserve">llyod               </t>
  </si>
  <si>
    <t>GUGU</t>
  </si>
  <si>
    <t>THERE IS AN ONGOING STRIKE</t>
  </si>
  <si>
    <t xml:space="preserve">cody                </t>
  </si>
  <si>
    <t xml:space="preserve">sandi               </t>
  </si>
  <si>
    <t xml:space="preserve">elias               </t>
  </si>
  <si>
    <t xml:space="preserve">b emma              </t>
  </si>
  <si>
    <t xml:space="preserve">g froud             </t>
  </si>
  <si>
    <t>DIESEL ELECTRICAL IN</t>
  </si>
  <si>
    <t xml:space="preserve">JOEL                </t>
  </si>
  <si>
    <t xml:space="preserve">kally               </t>
  </si>
  <si>
    <t xml:space="preserve">VERONA              </t>
  </si>
  <si>
    <t xml:space="preserve">SAMMY               </t>
  </si>
  <si>
    <t xml:space="preserve">Polyoak packaging   </t>
  </si>
  <si>
    <t xml:space="preserve">Universal Automated </t>
  </si>
  <si>
    <t>28/05/2019 18:13:53 let JNX POD confirmed on NTS</t>
  </si>
  <si>
    <t xml:space="preserve">jonah               </t>
  </si>
  <si>
    <t>28/05/2019 16:45:43 NGF CPT POD confirmed on NTS</t>
  </si>
  <si>
    <t xml:space="preserve">Lee Hanekam         </t>
  </si>
  <si>
    <t>28/05/2019 17:57:27 NGF CPT POD confirmed on NTS</t>
  </si>
  <si>
    <t xml:space="preserve">Johanna             </t>
  </si>
  <si>
    <t>28/05/2019 16:47:35 jam CPT POD confirmed on NTS</t>
  </si>
  <si>
    <t>28/05/2019 18:19:18 UAT PLZ POD confirmed on NTS</t>
  </si>
  <si>
    <t>28/05/2019 18:15:13 lin PLZ POD confirmed on NTS</t>
  </si>
  <si>
    <t>28/05/2019 16:40:28 NGF CPT POD confirmed on NTS</t>
  </si>
  <si>
    <t>28/05/2019 16:29:48 NGF CPT POD confirmed on NTS</t>
  </si>
  <si>
    <t>28/05/2019 18:49:51 UAT PLZ POD confirmed on NTS</t>
  </si>
  <si>
    <t xml:space="preserve">gayndon             </t>
  </si>
  <si>
    <t>28/05/2019 18:15:31 lin PLZ POD confirmed on NTS</t>
  </si>
  <si>
    <t>28/05/2019 18:13:44 lin PLZ POD confirmed on NTS</t>
  </si>
  <si>
    <t xml:space="preserve">ALLEX               </t>
  </si>
  <si>
    <t>28/05/2019 18:48:00 UAT PLZ POD confirmed on NTS</t>
  </si>
  <si>
    <t>28/05/2019 18:18:08 UAT PLZ POD confirmed on NTS</t>
  </si>
  <si>
    <t>28/05/2019 18:45:08 UAT PLZ POD confirmed on NTS</t>
  </si>
  <si>
    <t>28/05/2019 18:48:08 UAT PLZ POD confirmed on NTS</t>
  </si>
  <si>
    <t>28/05/2019 18:14:02 lin PLZ POD confirmed on NTS</t>
  </si>
  <si>
    <t>28/05/2019 12:14:09 SIM ELS POD confirmed on NTS</t>
  </si>
  <si>
    <t xml:space="preserve">monray              </t>
  </si>
  <si>
    <t>28/05/2019 16:46:14 NGF CPT POD confirmed on NTS</t>
  </si>
  <si>
    <t>28/05/2019 15:24:54 NIS PZB POD confirmed on NTS</t>
  </si>
  <si>
    <t xml:space="preserve">bhekumuzi           </t>
  </si>
  <si>
    <t>28/05/2019 13:20:50 ssh DUR POD confirmed on NTS</t>
  </si>
  <si>
    <t>28/05/2019 13:41:44 ssh DUR POD confirmed on NTS</t>
  </si>
  <si>
    <t>28/05/2019 13:41:37 ssh DUR POD confirmed on NTS</t>
  </si>
  <si>
    <t>28/05/2019 18:10:26 teb PRY POD confirmed on NTS</t>
  </si>
  <si>
    <t>28/05/2019 16:29:53 blm PRY POD confirmed on NTS</t>
  </si>
  <si>
    <t>28/05/2019 17:50:31 NGF CPT POD confirmed on NTS</t>
  </si>
  <si>
    <t xml:space="preserve">GRUNDFOS            </t>
  </si>
  <si>
    <t xml:space="preserve">Tebogo              </t>
  </si>
  <si>
    <t>28/05/2019 16:46:23 NGF CPT POD confirmed on NTS</t>
  </si>
  <si>
    <t xml:space="preserve">Reshik              </t>
  </si>
  <si>
    <t>28/05/2019 15:06:18 NIS PZB POD confirmed on NTS</t>
  </si>
  <si>
    <t xml:space="preserve">SAKATA SEED         </t>
  </si>
  <si>
    <t>julius</t>
  </si>
  <si>
    <t>28/05/2019 06:19:33 ran CPT Scanned out of cage/bay</t>
  </si>
  <si>
    <t xml:space="preserve">MARLEY PIPE SYSTEMS </t>
  </si>
  <si>
    <t>28/05/2019 18:07:29 bem JNX POD confirmed on NTS</t>
  </si>
  <si>
    <t>28/05/2019 17:54:34 ssh DUR POD confirmed on NTS</t>
  </si>
  <si>
    <t>28/05/2019 18:14:40 lin PLZ POD confirmed on NTS</t>
  </si>
  <si>
    <t>28/05/2019 15:25:04 NIS PZB POD confirmed on NTS</t>
  </si>
  <si>
    <t xml:space="preserve">thea                </t>
  </si>
  <si>
    <t xml:space="preserve">MINOVA              </t>
  </si>
  <si>
    <t xml:space="preserve">W CROIS             </t>
  </si>
  <si>
    <t>28/05/2019 16:26:07 ssh DUR POD confirmed on NTS</t>
  </si>
  <si>
    <t xml:space="preserve">ingrid              </t>
  </si>
  <si>
    <t>29/05/2019 16:53:35 blm PRY POD confirmed on NTS</t>
  </si>
  <si>
    <t>28/05/2019 15:06:41 NIS PZB POD confirmed on NTS</t>
  </si>
  <si>
    <t>28/05/2019 15:25:13 NIS PZB POD confirmed on NTS</t>
  </si>
  <si>
    <t>28/05/2019 18:03:35 UAT PLZ POD confirmed on NTS</t>
  </si>
  <si>
    <t xml:space="preserve">H B Robb            </t>
  </si>
  <si>
    <t>29/05/2019 17:42:33 nis PZB POD confirmed on NTS</t>
  </si>
  <si>
    <t xml:space="preserve">janson              </t>
  </si>
  <si>
    <t>28/05/2019 13:20:15 ssh DUR POD confirmed on NTS</t>
  </si>
  <si>
    <t>28/05/2019 19:41:12 TES JNX POD confirmed on NTS</t>
  </si>
  <si>
    <t>28/05/2019 18:11:11 teb PRY POD confirmed on NTS</t>
  </si>
  <si>
    <t xml:space="preserve">CARIN               </t>
  </si>
  <si>
    <t>28/05/2019 18:11:22 teb PRY POD confirmed on NTS</t>
  </si>
  <si>
    <t xml:space="preserve">TILE MAGIC CC       </t>
  </si>
  <si>
    <t>28/05/2019 18:53:55 moo PRY POD confirmed on NTS</t>
  </si>
  <si>
    <t>28/05/2019 17:17:09 ssh DUR POD confirmed on NTS</t>
  </si>
  <si>
    <t xml:space="preserve">GUY GUY             </t>
  </si>
  <si>
    <t>28/05/2019 17:54:55 ssh DUR POD confirmed on NTS</t>
  </si>
  <si>
    <t xml:space="preserve">neo                 </t>
  </si>
  <si>
    <t>28/05/2019 17:23:36 moo PRY POD confirmed on NTS</t>
  </si>
  <si>
    <t>28/05/2019 16:29:39 blm PRY POD confirmed on NTS</t>
  </si>
  <si>
    <t xml:space="preserve">Udo                 </t>
  </si>
  <si>
    <t>28/05/2019 17:28:59 moo PRY POD confirmed on NTS</t>
  </si>
  <si>
    <t>MACSTEEL COIL PROCES</t>
  </si>
  <si>
    <t>28/05/2019 18:01:00 UAT PLZ POD confirmed on NTS</t>
  </si>
  <si>
    <t>28/05/2019 16:40:39 NGF CPT POD confirmed on NTS</t>
  </si>
  <si>
    <t xml:space="preserve">MITSI               </t>
  </si>
  <si>
    <t>28/05/2019 14:08:49 NGF CPT POD confirmed on NTS</t>
  </si>
  <si>
    <t>28/05/2019 18:45:29 UAT PLZ POD confirmed on NTS</t>
  </si>
  <si>
    <t>28/05/2019 18:45:17 UAT PLZ POD confirmed on NTS</t>
  </si>
  <si>
    <t xml:space="preserve">gaydon              </t>
  </si>
  <si>
    <t>28/05/2019 18:15:55 lin PLZ POD confirmed on NTS</t>
  </si>
  <si>
    <t>28/05/2019 16:26:18 ssh DUR POD confirmed on NTS</t>
  </si>
  <si>
    <t>28/05/2019 17:41:07 ssh DUR POD confirmed on NTS</t>
  </si>
  <si>
    <t xml:space="preserve">FRANCOIS LE ROUX    </t>
  </si>
  <si>
    <t>28/05/2019 16:58:08 NGF CPT POD confirmed on NTS</t>
  </si>
  <si>
    <t xml:space="preserve">Charles             </t>
  </si>
  <si>
    <t>28/05/2019 17:12:03 NGF CPT POD confirmed on NTS</t>
  </si>
  <si>
    <t>28/05/2019 16:46:16 NGF CPT POD confirmed on NTS</t>
  </si>
  <si>
    <t>28/05/2019 19:18:12 jam CPT POD confirmed on NTS</t>
  </si>
  <si>
    <t>28/05/2019 17:11:43 NGF CPT POD confirmed on NTS</t>
  </si>
  <si>
    <t>28/05/2019 13:20:29 ssh DUR POD confirmed on NTS</t>
  </si>
  <si>
    <t>28/05/2019 17:11:30 NGF CPT POD confirmed on NTS</t>
  </si>
  <si>
    <t>28/05/2019 16:40:52 NGF CPT POD confirmed on NTS</t>
  </si>
  <si>
    <t>PRIONTEX MICRONCLEAN</t>
  </si>
  <si>
    <t>29/05/2019 08:47:23 chb WEL Delivered to client</t>
  </si>
  <si>
    <t>29/05/2019 08:47:11 chb WEL Delivered to client</t>
  </si>
  <si>
    <t xml:space="preserve">francis             </t>
  </si>
  <si>
    <t xml:space="preserve">FLIP                </t>
  </si>
  <si>
    <t>28/05/2019 17:15:15 mib KIM POD confirmed on NTS</t>
  </si>
  <si>
    <t xml:space="preserve">londy               </t>
  </si>
  <si>
    <t>28/05/2019 13:31:40 ssh DUR POD confirmed on NTS</t>
  </si>
  <si>
    <t xml:space="preserve">SANDILESILE         </t>
  </si>
  <si>
    <t>28/05/2019 16:35:40 SYSTEM  POD Upload Android</t>
  </si>
  <si>
    <t xml:space="preserve">SANDSILE            </t>
  </si>
  <si>
    <t>28/05/2019 16:40:13 SYSTEM  POD Upload Android</t>
  </si>
  <si>
    <t xml:space="preserve">j Booysens          </t>
  </si>
  <si>
    <t xml:space="preserve">AGNES               </t>
  </si>
  <si>
    <t>28/05/2019 13:41:31 ssh DUR POD confirmed on NTS</t>
  </si>
  <si>
    <t>28/05/2019 13:41:53 ssh DUR POD confirmed on NTS</t>
  </si>
  <si>
    <t>29/05/2019 18:20:11 UAT PLZ POD confirmed on NTS</t>
  </si>
  <si>
    <t>28/05/2019 17:55:31 UAT PLZ POD confirmed on NTS</t>
  </si>
  <si>
    <t>13::1</t>
  </si>
  <si>
    <t xml:space="preserve">m du tiot           </t>
  </si>
  <si>
    <t>28/05/2019 16:11:36 TTS PLZ Delivered to client</t>
  </si>
  <si>
    <t>28/05/2019 17:57:52 UAT PLZ POD confirmed on NTS</t>
  </si>
  <si>
    <t>28/05/2019 17:51:45 jam CPT POD confirmed on NTS</t>
  </si>
  <si>
    <t xml:space="preserve">MOTAUNG             </t>
  </si>
  <si>
    <t xml:space="preserve">salome              </t>
  </si>
  <si>
    <t>28/05/2019 15:42:58 blm PRY POD confirmed on NTS</t>
  </si>
  <si>
    <t xml:space="preserve">zel                 </t>
  </si>
  <si>
    <t>28/05/2019 16:47:10 moo PRY POD confirmed on NTS</t>
  </si>
  <si>
    <t xml:space="preserve">resend         </t>
  </si>
  <si>
    <t>28/05/2019 17:26:37 moo PRY POD confirmed on NTS</t>
  </si>
  <si>
    <t xml:space="preserve">erick               </t>
  </si>
  <si>
    <t>28/05/2019 17:46:42 TES JNX POD confirmed on NTS</t>
  </si>
  <si>
    <t>28/05/2019 16:29:46 blm PRY POD confirmed on NTS</t>
  </si>
  <si>
    <t xml:space="preserve">Desiree             </t>
  </si>
  <si>
    <t>28/05/2019 18:17:56 ssh DUR POD confirmed on NTS</t>
  </si>
  <si>
    <t>28/05/2019 18:50:00 UAT PLZ POD confirmed on NTS</t>
  </si>
  <si>
    <t>28/05/2019 18:18:15 UAT PLZ POD confirmed on NTS</t>
  </si>
  <si>
    <t>28/05/2019 21:42:34 seb GRJ POD confirmed on NTS</t>
  </si>
  <si>
    <t>28/05/2019 18:11:45 teb PRY POD confirmed on NTS</t>
  </si>
  <si>
    <t>30/05/2019 08:21:29 TTS RBG Del data to AND</t>
  </si>
  <si>
    <t xml:space="preserve">Katinka             </t>
  </si>
  <si>
    <t>28/05/2019 17:26:10 moo PRY POD confirmed on NTS</t>
  </si>
  <si>
    <t xml:space="preserve">thiagbounden        </t>
  </si>
  <si>
    <t xml:space="preserve">shaun               </t>
  </si>
  <si>
    <t xml:space="preserve">SHORN               </t>
  </si>
  <si>
    <t>28/05/2019 17:04:30 jam CPT POD confirmed on NTS</t>
  </si>
  <si>
    <t xml:space="preserve">Palesa              </t>
  </si>
  <si>
    <t>28/05/2019 17:11:36 NGF CPT POD confirmed on NTS</t>
  </si>
  <si>
    <t>28/05/2019 15:42:26 avw ELS POD confirmed on NTS</t>
  </si>
  <si>
    <t xml:space="preserve">jader               </t>
  </si>
  <si>
    <t>29/05/2019 17:41:22 lin PLZ POD confirmed on NTS</t>
  </si>
  <si>
    <t>13::2</t>
  </si>
  <si>
    <t xml:space="preserve">m d tiot            </t>
  </si>
  <si>
    <t>28/05/2019 17:11:57 NGF CPT POD confirmed on NTS</t>
  </si>
  <si>
    <t>28/05/2019 16:47:21 jam CPT POD confirmed on NTS</t>
  </si>
  <si>
    <t>28/05/2019 17:14:10 nks RBG POD confirmed on NTS</t>
  </si>
  <si>
    <t>CONTROL SOLUTIONS IN</t>
  </si>
  <si>
    <t xml:space="preserve">MDOLO               </t>
  </si>
  <si>
    <t>28/05/2019 15:25:31 NIS PZB POD confirmed on NTS</t>
  </si>
  <si>
    <t>28/05/2019 15:24:43 NIS PZB POD confirmed on NTS</t>
  </si>
  <si>
    <t>28/05/2019 17:40:58 ssh DUR POD confirmed on NTS</t>
  </si>
  <si>
    <t xml:space="preserve">mandla              </t>
  </si>
  <si>
    <t>28/05/2019 13:20:22 ssh DUR POD confirmed on NTS</t>
  </si>
  <si>
    <t>28/05/2019 16:26:12 ssh DUR POD confirmed on NTS</t>
  </si>
  <si>
    <t>28/05/2019 14:29:38 IRE BEH POD confirmed on NTS</t>
  </si>
  <si>
    <t>28/05/2019 15:06:30 NIS PZB POD confirmed on NTS</t>
  </si>
  <si>
    <t>28/05/2019 16:46:20 NGF CPT POD confirmed on NTS</t>
  </si>
  <si>
    <t>28/05/2019 19:10:34 moo PRY POD confirmed on NTS</t>
  </si>
  <si>
    <t xml:space="preserve">eleanor             </t>
  </si>
  <si>
    <t>28/05/2019 20:01:25 mmd JNX POD confirmed on NTS</t>
  </si>
  <si>
    <t>28/05/2019 13:20:59 ssh DUR POD confirmed on NTS</t>
  </si>
  <si>
    <t>28/05/2019 16:34:12 KFH JNX POD confirmed on NTS</t>
  </si>
  <si>
    <t>29/05/2019 18:26:05 mmd JNX POD confirmed on NTS</t>
  </si>
  <si>
    <t>28/05/2019 17:40:42 ssh DUR POD confirmed on NTS</t>
  </si>
  <si>
    <t>28/05/2019 18:01:58 UAT PLZ POD confirmed on NTS</t>
  </si>
  <si>
    <t>28/05/2019 17:33:26 moo PRY POD confirmed on NTS</t>
  </si>
  <si>
    <t xml:space="preserve">fourie              </t>
  </si>
  <si>
    <t>28/05/2019 17:57:02 UAT PLZ POD confirmed on NTS</t>
  </si>
  <si>
    <t>BINGO</t>
  </si>
  <si>
    <t xml:space="preserve">JNX016609      </t>
  </si>
  <si>
    <t>EASTCAPE MIDLANDS CO</t>
  </si>
  <si>
    <t xml:space="preserve">VALENCIA            </t>
  </si>
  <si>
    <t>29/05/2019 17:08:47 NLG PLZ POD confirmed on NTS</t>
  </si>
  <si>
    <t>***TENDER READY</t>
  </si>
  <si>
    <t xml:space="preserve">logan               </t>
  </si>
  <si>
    <t>28/05/2019 13:40:53 ssh DUR POD confirmed on NTS</t>
  </si>
  <si>
    <t>28/05/2019 13:20:39 ssh DUR POD confirmed on NTS</t>
  </si>
  <si>
    <t xml:space="preserve">keenan              </t>
  </si>
  <si>
    <t>29/05/2019 16:38:15 NGF CPT POD confirmed on NTS</t>
  </si>
  <si>
    <t xml:space="preserve">coladys             </t>
  </si>
  <si>
    <t xml:space="preserve">0upa                </t>
  </si>
  <si>
    <t xml:space="preserve">victor              </t>
  </si>
  <si>
    <t>MULTOTEC MANUFACTURI</t>
  </si>
  <si>
    <t xml:space="preserve">muriel              </t>
  </si>
  <si>
    <t xml:space="preserve">jonathan            </t>
  </si>
  <si>
    <t xml:space="preserve">jolene              </t>
  </si>
  <si>
    <t>30/05/2019 06:55:31 TTS PRY Del data to AND</t>
  </si>
  <si>
    <t xml:space="preserve">willam              </t>
  </si>
  <si>
    <t xml:space="preserve">Mandisi             </t>
  </si>
  <si>
    <t>29/05/2019 18:56:42 moo PRY POD confirmed on NTS</t>
  </si>
  <si>
    <t>29/05/2019 16:10:26 NGF CPT POD confirmed on NTS</t>
  </si>
  <si>
    <t>29/05/2019 15:29:47 blm PRY POD confirmed on NTS</t>
  </si>
  <si>
    <t>29/05/2019 20:52:37 TTS CPT Del data to AND</t>
  </si>
  <si>
    <t>29/05/2019 18:32:17 NGF CPT POD confirmed on NTS</t>
  </si>
  <si>
    <t xml:space="preserve">Shane               </t>
  </si>
  <si>
    <t>29/05/2019 16:36:16 NGF CPT POD confirmed on NTS</t>
  </si>
  <si>
    <t xml:space="preserve">chevon              </t>
  </si>
  <si>
    <t>29/05/2019 16:05:22 NGF CPT POD confirmed on NTS</t>
  </si>
  <si>
    <t>29/05/2019 15:58:48 blm PRY POD confirmed on NTS</t>
  </si>
  <si>
    <t xml:space="preserve">J LUTZELLER         </t>
  </si>
  <si>
    <t>29/05/2019 16:10:43 NGF CPT POD confirmed on NTS</t>
  </si>
  <si>
    <t xml:space="preserve">XSCANN TECHNOLOGIES </t>
  </si>
  <si>
    <t>29/05/2019 06:54:34 pad RBG Unpacked at branch</t>
  </si>
  <si>
    <t>29/05/2019 17:30:41 teb PRY POD confirmed on NTS</t>
  </si>
  <si>
    <t xml:space="preserve">pierre              </t>
  </si>
  <si>
    <t>29/05/2019 17:40:28 nis PZB POD confirmed on NTS</t>
  </si>
  <si>
    <t>29/05/2019 17:40:49 nis PZB POD confirmed on NTS</t>
  </si>
  <si>
    <t>30/05/2019 07:00:13 TTS DUR Del data to AND</t>
  </si>
  <si>
    <t xml:space="preserve">Vishnu              </t>
  </si>
  <si>
    <t>29/05/2019 18:39:24 ssh DUR POD confirmed on NTS</t>
  </si>
  <si>
    <t xml:space="preserve">abbas               </t>
  </si>
  <si>
    <t>29/05/2019 20:48:01 SSH DUR POD confirmed on NTS</t>
  </si>
  <si>
    <t xml:space="preserve">DEECHRIS CC         </t>
  </si>
  <si>
    <t>PHILEMON</t>
  </si>
  <si>
    <t xml:space="preserve">LEON                </t>
  </si>
  <si>
    <t>29/05/2019 19:11:39 ssh DUR POD confirmed on NTS</t>
  </si>
  <si>
    <t>29/05/2019 18:40:42 ssh DUR POD confirmed on NTS</t>
  </si>
  <si>
    <t xml:space="preserve">D   D INDUSTRIAL    </t>
  </si>
  <si>
    <t xml:space="preserve">SUZANNE             </t>
  </si>
  <si>
    <t>29/05/2019 16:27:09 NGF CPT POD confirmed on NTS</t>
  </si>
  <si>
    <t>29/05/2019 17:39:22 bmo PRY Allocated for del</t>
  </si>
  <si>
    <t>29/05/2019 17:40:04 nis PZB POD confirmed on NTS</t>
  </si>
  <si>
    <t>29/05/2019 17:39:33 nis PZB POD confirmed on NTS</t>
  </si>
  <si>
    <t>29/05/2019 18:39:37 ssh DUR POD confirmed on NTS</t>
  </si>
  <si>
    <t>29/05/2019 17:10:01 ssh DUR POD confirmed on NTS</t>
  </si>
  <si>
    <t>29/05/2019 17:32:41 ssh DUR POD confirmed on NTS</t>
  </si>
  <si>
    <t>29/05/2019 17:32:49 ssh DUR POD confirmed on NTS</t>
  </si>
  <si>
    <t xml:space="preserve">THOBEKA             </t>
  </si>
  <si>
    <t>AWAITING POD FROM KR</t>
  </si>
  <si>
    <t>29/05/2019 14:59:53 JON WEL POD confirmed on NTS</t>
  </si>
  <si>
    <t>juan</t>
  </si>
  <si>
    <t xml:space="preserve">BOLTGAS             </t>
  </si>
  <si>
    <t xml:space="preserve">FOODSERV SOLUTIONS  </t>
  </si>
  <si>
    <t xml:space="preserve">mamA                </t>
  </si>
  <si>
    <t>29/05/2019 19:58:38 jam CPT POD confirmed on NTS</t>
  </si>
  <si>
    <t xml:space="preserve">Rudene              </t>
  </si>
  <si>
    <t>29/05/2019 16:10:12 NGF CPT POD confirmed on NTS</t>
  </si>
  <si>
    <t>29/05/2019 18:34:57 jam CPT POD confirmed on NTS</t>
  </si>
  <si>
    <t xml:space="preserve">Denise              </t>
  </si>
  <si>
    <t>29/05/2019 17:55:42 jam CPT POD confirmed on NTS</t>
  </si>
  <si>
    <t xml:space="preserve">Arnold              </t>
  </si>
  <si>
    <t>29/05/2019 15:37:48 jam CPT POD confirmed on NTS</t>
  </si>
  <si>
    <t xml:space="preserve">KYLIE               </t>
  </si>
  <si>
    <t>29/05/2019 16:30:38 NGF CPT POD confirmed on NTS</t>
  </si>
  <si>
    <t>30/05/2019 06:50:59 TTS CPT Del data to AND</t>
  </si>
  <si>
    <t>29/05/2019 16:10:19 NGF CPT POD confirmed on NTS</t>
  </si>
  <si>
    <t>29/05/2019 17:42:58 lin PLZ POD confirmed on NTS</t>
  </si>
  <si>
    <t xml:space="preserve">goan                </t>
  </si>
  <si>
    <t>29/05/2019 17:42:10 lin PLZ POD confirmed on NTS</t>
  </si>
  <si>
    <t>FRESENIUS KABI MANUF</t>
  </si>
  <si>
    <t xml:space="preserve">t koba              </t>
  </si>
  <si>
    <t>29/05/2019 17:37:34 UAT PLZ POD confirmed on NTS</t>
  </si>
  <si>
    <t>PATENSIE</t>
  </si>
  <si>
    <t xml:space="preserve">G N MOTOR REWINDING </t>
  </si>
  <si>
    <t>29/05/2019 06:37:42 TTS PLZ data sent to 3rd party</t>
  </si>
  <si>
    <t>INDIGO BRANDS (PTY)L</t>
  </si>
  <si>
    <t xml:space="preserve">BUSIE               </t>
  </si>
  <si>
    <t>29/05/2019 19:31:33 jam CPT POD confirmed on NTS</t>
  </si>
  <si>
    <t>29/05/2019 18:13:43 lin PLZ POD confirmed on NTS</t>
  </si>
  <si>
    <t>29/05/2019 18:19:45 UAT PLZ POD confirmed on NTS</t>
  </si>
  <si>
    <t>29/05/2019 17:14:15 UAT PLZ POD confirmed on NTS</t>
  </si>
  <si>
    <t xml:space="preserve">NICO                </t>
  </si>
  <si>
    <t>29/05/2019 17:38:27 UAT PLZ POD confirmed on NTS</t>
  </si>
  <si>
    <t>29/05/2019 19:30:56 jam CPT POD confirmed on NTS</t>
  </si>
  <si>
    <t>29/05/2019 16:36:23 NGF CPT POD confirmed on NTS</t>
  </si>
  <si>
    <t xml:space="preserve">Derek               </t>
  </si>
  <si>
    <t>29/05/2019 15:27:20 sim ELS POD confirmed on NTS</t>
  </si>
  <si>
    <t xml:space="preserve">NEUMATICS KZN       </t>
  </si>
  <si>
    <t>29/05/2019 18:28:34 ssh DUR POD confirmed on NTS</t>
  </si>
  <si>
    <t>29/05/2019 19:11:26 jam CPT POD confirmed on NTS</t>
  </si>
  <si>
    <t xml:space="preserve">Willie              </t>
  </si>
  <si>
    <t>29/05/2019 17:46:48 jam CPT POD confirmed on NTS</t>
  </si>
  <si>
    <t>29/05/2019 16:40:27 moo PRY POD confirmed on NTS</t>
  </si>
  <si>
    <t xml:space="preserve">vusasive            </t>
  </si>
  <si>
    <t>29/05/2019 17:51:06 moo PRY POD confirmed on NTS</t>
  </si>
  <si>
    <t>PRIME PRODUCT MANUFA</t>
  </si>
  <si>
    <t>30/05/2019 07:26:28 TTS RBG Del data to AND</t>
  </si>
  <si>
    <t>29/05/2019 17:30:18 teb PRY POD confirmed on NTS</t>
  </si>
  <si>
    <t>29/05/2019 15:58:54 blm PRY POD confirmed on NTS</t>
  </si>
  <si>
    <t>29/05/2019 18:20:17 UAT PLZ POD confirmed on NTS</t>
  </si>
  <si>
    <t>29/05/2019 15:33:29 sim ELS POD confirmed on NTS</t>
  </si>
  <si>
    <t>29/05/2019 15:00:03 JON WEL POD confirmed on NTS</t>
  </si>
  <si>
    <t>29/05/2019 18:17:50 UAT PLZ POD confirmed on NTS</t>
  </si>
  <si>
    <t xml:space="preserve">FUSE - A - TRON CC  </t>
  </si>
  <si>
    <t xml:space="preserve">RICKIEY             </t>
  </si>
  <si>
    <t>29/05/2019 18:41:41 jam CPT POD confirmed on NTS</t>
  </si>
  <si>
    <t>29/05/2019 16:10:35 NGF CPT POD confirmed on NTS</t>
  </si>
  <si>
    <t xml:space="preserve">Luisah              </t>
  </si>
  <si>
    <t>29/05/2019 16:40:09 moo PRY POD confirmed on NTS</t>
  </si>
  <si>
    <t>CONSUMER A DIV OF TI</t>
  </si>
  <si>
    <t xml:space="preserve">SCHULLPAK (PTY)LTD  </t>
  </si>
  <si>
    <t xml:space="preserve">Bravin              </t>
  </si>
  <si>
    <t xml:space="preserve">stan                </t>
  </si>
  <si>
    <t>29/05/2019 20:48:08 SSH DUR POD confirmed on NTS</t>
  </si>
  <si>
    <t xml:space="preserve">ANGLO AMERICAN CORP </t>
  </si>
  <si>
    <t xml:space="preserve"> WE NEED THE CONTACT PERSON NO CONTACT NUMBER TO CONFIRM PLZ ASSIST</t>
  </si>
  <si>
    <t>30/05/2019 06:35:58 TTS CPT data sent to 3rd party</t>
  </si>
  <si>
    <t>29/05/2019 13:01:38 SSH DUR POD confirmed on NTS</t>
  </si>
  <si>
    <t xml:space="preserve">stefane             </t>
  </si>
  <si>
    <t>29/05/2019 20:47:46 SSH DUR POD confirmed on NTS</t>
  </si>
  <si>
    <t>29/05/2019 18:28:50 ssh DUR POD confirmed on NTS</t>
  </si>
  <si>
    <t>29/05/2019 17:01:16 nis PZB POD confirmed on NTS</t>
  </si>
  <si>
    <t>29/05/2019 17:33:01 ssh DUR POD confirmed on NTS</t>
  </si>
  <si>
    <t>29/05/2019 17:39:52 nis PZB POD confirmed on NTS</t>
  </si>
  <si>
    <t>29/05/2019 17:37:18 phr NEW POD confirmed on NTS</t>
  </si>
  <si>
    <t>29/05/2019 12:08:31 ssh DUR POD confirmed on NTS</t>
  </si>
  <si>
    <t>BROOKLYN METAL SPRAY</t>
  </si>
  <si>
    <t xml:space="preserve">Anusha              </t>
  </si>
  <si>
    <t>29/05/2019 18:39:11 ssh DUR POD confirmed on NTS</t>
  </si>
  <si>
    <t>29/05/2019 19:32:50 jam CPT POD confirmed on NTS</t>
  </si>
  <si>
    <t xml:space="preserve">COMFORD             </t>
  </si>
  <si>
    <t>30/05/2019 06:19:57 TTS CPT Del data to AND</t>
  </si>
  <si>
    <t>ACTION BOLT (PTY)LTD</t>
  </si>
  <si>
    <t xml:space="preserve">CELE                </t>
  </si>
  <si>
    <t>29/05/2019 16:58:52 ssh DUR POD confirmed on NTS</t>
  </si>
  <si>
    <t>29/05/2019 17:55:46 jam CPT POD confirmed on NTS</t>
  </si>
  <si>
    <t>29/05/2019 07:11:21 TTS DUR Del data to AND</t>
  </si>
  <si>
    <t>29/05/2019 15:37:43 jam CPT POD confirmed on NTS</t>
  </si>
  <si>
    <t>29/05/2019 19:30:30 jam CPT POD confirmed on NTS</t>
  </si>
  <si>
    <t xml:space="preserve">GRIEF SA            </t>
  </si>
  <si>
    <t>29/05/2019 12:58:55 SSH DUR POD confirmed on NTS</t>
  </si>
  <si>
    <t>DURBAN WIRE   PLASTI</t>
  </si>
  <si>
    <t xml:space="preserve">Shevanie            </t>
  </si>
  <si>
    <t>29/05/2019 19:11:44 ssh DUR POD confirmed on NTS</t>
  </si>
  <si>
    <t>29/05/2019 19:11:09 ssh DUR POD confirmed on NTS</t>
  </si>
  <si>
    <t xml:space="preserve">Phume               </t>
  </si>
  <si>
    <t>29/05/2019 16:50:25 nis PZB POD confirmed on NTS</t>
  </si>
  <si>
    <t>29/05/2019 15:34:22 NIS PZB POD confirmed on NTS</t>
  </si>
  <si>
    <t xml:space="preserve">ZOOMARATI           </t>
  </si>
  <si>
    <t xml:space="preserve">carlos              </t>
  </si>
  <si>
    <t>29/05/2019 15:25:06 sim ELS POD confirmed on NTS</t>
  </si>
  <si>
    <t>29/05/2019 16:36:02 jam CPT POD confirmed on NTS</t>
  </si>
  <si>
    <t>29/05/2019 16:36:47 jam CPT POD confirmed on NTS</t>
  </si>
  <si>
    <t>29/05/2019 20:47:30 SSH DUR POD confirmed on NTS</t>
  </si>
  <si>
    <t>29/05/2019 18:21:45 UAT PLZ POD confirmed on NTS</t>
  </si>
  <si>
    <t>29/05/2019 18:17:59 UAT PLZ POD confirmed on NTS</t>
  </si>
  <si>
    <t>29/05/2019 15:25:37 sim ELS POD confirmed on NTS</t>
  </si>
  <si>
    <t xml:space="preserve">WOODTECH            </t>
  </si>
  <si>
    <t>29/05/2019 17:37:21 UAT PLZ POD confirmed on NTS</t>
  </si>
  <si>
    <t>29/05/2019 15:25:52 sim ELS POD confirmed on NTS</t>
  </si>
  <si>
    <t xml:space="preserve">Keegan              </t>
  </si>
  <si>
    <t>29/05/2019 18:40:29 ssh DUR POD confirmed on NTS</t>
  </si>
  <si>
    <t xml:space="preserve">FV PACKING SYSTEM   </t>
  </si>
  <si>
    <t xml:space="preserve">mavis               </t>
  </si>
  <si>
    <t>29/05/2019 16:30:47 NGF CPT POD confirmed on NTS</t>
  </si>
  <si>
    <t>29/05/2019 17:55:53 jam CPT POD confirmed on NTS</t>
  </si>
  <si>
    <t>29/05/2019 20:47:54 SSH DUR POD confirmed on NTS</t>
  </si>
  <si>
    <t>LADISMITH (CP)</t>
  </si>
  <si>
    <t xml:space="preserve">M HOUGH             </t>
  </si>
  <si>
    <t>29/05/2019 22:16:24 seb GRJ POD confirmed on NTS</t>
  </si>
  <si>
    <t>30/05/2019 07:07:43 TTS JNX Del data to AND</t>
  </si>
  <si>
    <t xml:space="preserve">FESTO(PTY)LTD       </t>
  </si>
  <si>
    <t>29/05/2019 17:31:20 teb PRY POD confirmed on NTS</t>
  </si>
  <si>
    <t xml:space="preserve">justice             </t>
  </si>
  <si>
    <t xml:space="preserve">lane                </t>
  </si>
  <si>
    <t>29/05/2019 17:28:52 jam CPT POD confirmed on NTS</t>
  </si>
  <si>
    <t>29/05/2019 19:07:52 NGF CPT POD confirmed on NTS</t>
  </si>
  <si>
    <t>29/05/2019 17:30:28 teb PRY POD confirmed on NTS</t>
  </si>
  <si>
    <t xml:space="preserve">INNOVATION          </t>
  </si>
  <si>
    <t xml:space="preserve">Alida               </t>
  </si>
  <si>
    <t xml:space="preserve">kahlego phiri       </t>
  </si>
  <si>
    <t xml:space="preserve">NESTLE              </t>
  </si>
  <si>
    <t xml:space="preserve">Hilmar              </t>
  </si>
  <si>
    <t>29/05/2019 22:22:53 seb GRJ POD confirmed on NTS</t>
  </si>
  <si>
    <t>OUT ON DELIVERY TO DAY 30 / 05/ 2019</t>
  </si>
  <si>
    <t>30/05/2019 20:46:49 TTS CPT Del data to AND</t>
  </si>
  <si>
    <t>30/05/2019 14:47:26 ssh DUR POD confirmed on NTS</t>
  </si>
  <si>
    <t xml:space="preserve">Rodney              </t>
  </si>
  <si>
    <t xml:space="preserve">NOREF          </t>
  </si>
  <si>
    <t>30/05/2019 18:43:02 TES JNX POD confirmed on NTS</t>
  </si>
  <si>
    <t>30/05/2019 16:41:03 NGF CPT POD confirmed on NTS</t>
  </si>
  <si>
    <t>30/05/2019 15:56:58 UAT PLZ POD confirmed on NTS</t>
  </si>
  <si>
    <t>30/05/2019 15:06:01 NGF CPT POD confirmed on NTS</t>
  </si>
  <si>
    <t>LYNDON</t>
  </si>
  <si>
    <t xml:space="preserve">fionia              </t>
  </si>
  <si>
    <t>30/05/2019 19:07:13 jam CPT POD confirmed on NTS</t>
  </si>
  <si>
    <t>30/05/2019 17:37:12 jam CPT POD confirmed on NTS</t>
  </si>
  <si>
    <t xml:space="preserve">Leani               </t>
  </si>
  <si>
    <t>30/05/2019 17:47:25 NGF CPT POD confirmed on NTS</t>
  </si>
  <si>
    <t xml:space="preserve">S WENDEWUTH         </t>
  </si>
  <si>
    <t xml:space="preserve">Bradley             </t>
  </si>
  <si>
    <t xml:space="preserve">Mynie               </t>
  </si>
  <si>
    <t>30/05/2019 17:47:33 NGF CPT POD confirmed on NTS</t>
  </si>
  <si>
    <t>WSOLHUTER ENGINEERIN</t>
  </si>
  <si>
    <t>30/05/2019 15:56:26 UAT PLZ POD confirmed on NTS</t>
  </si>
  <si>
    <t xml:space="preserve">jackie              </t>
  </si>
  <si>
    <t>30/05/2019 15:04:34 NGF CPT POD confirmed on NTS</t>
  </si>
  <si>
    <t>SOUTHERN COMPSITE EN</t>
  </si>
  <si>
    <t xml:space="preserve">Nomsa               </t>
  </si>
  <si>
    <t>30/05/2019 16:18:59 NGF CPT POD confirmed on NTS</t>
  </si>
  <si>
    <t>16::1</t>
  </si>
  <si>
    <t xml:space="preserve">marianka            </t>
  </si>
  <si>
    <t>30/05/2019 20:31:30 TTS PLZ Delivered to client</t>
  </si>
  <si>
    <t>30/05/2019 16:10:20 UAT PLZ POD confirmed on NTS</t>
  </si>
  <si>
    <t>30/05/2019 19:53:29 jam CPT POD confirmed on NTS</t>
  </si>
  <si>
    <t>30/05/2019 16:17:39 NGF CPT POD confirmed on NTS</t>
  </si>
  <si>
    <t xml:space="preserve">riaan               </t>
  </si>
  <si>
    <t>30/05/2019 15:21:36 sim ELS POD confirmed on NTS</t>
  </si>
  <si>
    <t xml:space="preserve">alice               </t>
  </si>
  <si>
    <t>30/05/2019 18:19:59 NGF CPT POD confirmed on NTS</t>
  </si>
  <si>
    <t>30/05/2019 16:41:26 UAT PLZ POD confirmed on NTS</t>
  </si>
  <si>
    <t xml:space="preserve">BANTEX SOUTH AFRICA </t>
  </si>
  <si>
    <t xml:space="preserve">starmon             </t>
  </si>
  <si>
    <t xml:space="preserve">fione               </t>
  </si>
  <si>
    <t>30/05/2019 18:23:37 jam CPT POD confirmed on NTS</t>
  </si>
  <si>
    <t xml:space="preserve">hans                </t>
  </si>
  <si>
    <t xml:space="preserve">erve                </t>
  </si>
  <si>
    <t xml:space="preserve">STRATEGY ELECTRICAL </t>
  </si>
  <si>
    <t xml:space="preserve">robie               </t>
  </si>
  <si>
    <t xml:space="preserve">BEHEL               </t>
  </si>
  <si>
    <t>30/05/2019 15:40:32 lin PLZ POD confirmed on NTS</t>
  </si>
  <si>
    <t>30/05/2019 16:13:37 NIS PZB POD confirmed on NTS</t>
  </si>
  <si>
    <t>30/05/2019 09:42:17 TTS ELS data sent to 3rd party</t>
  </si>
  <si>
    <t xml:space="preserve">yolande             </t>
  </si>
  <si>
    <t>30/05/2019 16:08:15 UAT PLZ POD confirmed on NTS</t>
  </si>
  <si>
    <t>30/05/2019 15:38:22 lin PLZ POD confirmed on NTS</t>
  </si>
  <si>
    <t xml:space="preserve">RAKESH              </t>
  </si>
  <si>
    <t xml:space="preserve">nomvozo             </t>
  </si>
  <si>
    <t>30/05/2019 16:08:03 UAT PLZ POD confirmed on NTS</t>
  </si>
  <si>
    <t>30/05/2019 15:56:20 UAT PLZ POD confirmed on NTS</t>
  </si>
  <si>
    <t>30/05/2019 16:06:31 UAT PLZ POD confirmed on NTS</t>
  </si>
  <si>
    <t>30/05/2019 16:17:23 NGF CPT POD confirmed on NTS</t>
  </si>
  <si>
    <t>30/05/2019 17:47:10 NGF CPT POD confirmed on NTS</t>
  </si>
  <si>
    <t>30/05/2019 16:39:29 UAT PLZ POD confirmed on NTS</t>
  </si>
  <si>
    <t xml:space="preserve"> theo</t>
  </si>
  <si>
    <t>30/05/2019 16:17:13 NGF CPT POD confirmed on NTS</t>
  </si>
  <si>
    <t xml:space="preserve">berdus              </t>
  </si>
  <si>
    <t>31/05/2019 08:03:05 TTS RBG Del data to AND</t>
  </si>
  <si>
    <t>30/05/2019 19:27:56 bem JNX POD confirmed on NTS</t>
  </si>
  <si>
    <t xml:space="preserve">ILLAGE              </t>
  </si>
  <si>
    <t>WEIR MINERALS AFRICA</t>
  </si>
  <si>
    <t xml:space="preserve">kervin              </t>
  </si>
  <si>
    <t>30/05/2019 16:46:34 nis PZB POD confirmed on NTS</t>
  </si>
  <si>
    <t>30/05/2019 15:56:13 UAT PLZ POD confirmed on NTS</t>
  </si>
  <si>
    <t>30/05/2019 21:19:43 seb GRJ POD confirmed on NTS</t>
  </si>
  <si>
    <t>30/05/2019 17:47:18 NGF CPT POD confirmed on NTS</t>
  </si>
  <si>
    <t xml:space="preserve">KATHLEEN            </t>
  </si>
  <si>
    <t>30/05/2019 16:22:40 NGF CPT POD confirmed on NTS</t>
  </si>
  <si>
    <t>30/05/2019 16:41:16 UAT PLZ POD confirmed on NTS</t>
  </si>
  <si>
    <t>30/05/2019 16:06:23 UAT PLZ POD confirmed on NTS</t>
  </si>
  <si>
    <t>30/05/2019 16:42:11 UAT PLZ POD confirmed on NTS</t>
  </si>
  <si>
    <t xml:space="preserve">graydon             </t>
  </si>
  <si>
    <t>30/05/2019 19:08:50 lin PLZ POD confirmed on NTS</t>
  </si>
  <si>
    <t xml:space="preserve">austin              </t>
  </si>
  <si>
    <t xml:space="preserve">COCA - COLA FORTUNE </t>
  </si>
  <si>
    <t xml:space="preserve">melusi              </t>
  </si>
  <si>
    <t>REPMA ENGINEERING PT</t>
  </si>
  <si>
    <t xml:space="preserve">christopler         </t>
  </si>
  <si>
    <t xml:space="preserve">jonas               </t>
  </si>
  <si>
    <t xml:space="preserve">Douglas             </t>
  </si>
  <si>
    <t xml:space="preserve">HYDRA PART CC       </t>
  </si>
  <si>
    <t xml:space="preserve">Rudie               </t>
  </si>
  <si>
    <t>NNOVATIVE AUTOMATION</t>
  </si>
  <si>
    <t xml:space="preserve">Dylon               </t>
  </si>
  <si>
    <t xml:space="preserve">andele              </t>
  </si>
  <si>
    <t>30/05/2019 15:45:22 UAT PLZ POD confirmed on NTS</t>
  </si>
  <si>
    <t>30/05/2019 16:06:39 UAT PLZ POD confirmed on NTS</t>
  </si>
  <si>
    <t>30/05/2019 15:57:22 UAT PLZ POD confirmed on NTS</t>
  </si>
  <si>
    <t>30/05/2019 16:39:42 UAT PLZ POD confirmed on NTS</t>
  </si>
  <si>
    <t>30/05/2019 15:46:38 UAT PLZ POD confirmed on NTS</t>
  </si>
  <si>
    <t>30/05/2019 16:41:36 UAT PLZ POD confirmed on NTS</t>
  </si>
  <si>
    <t xml:space="preserve">Wernich             </t>
  </si>
  <si>
    <t>30/05/2019 17:46:51 NGF CPT POD confirmed on NTS</t>
  </si>
  <si>
    <t xml:space="preserve">KATHLEAN            </t>
  </si>
  <si>
    <t>30/05/2019 16:23:27 NGF CPT POD confirmed on NTS</t>
  </si>
  <si>
    <t xml:space="preserve">letia               </t>
  </si>
  <si>
    <t>30/05/2019 17:33:22 nks RBG POD confirmed on NTS</t>
  </si>
  <si>
    <t xml:space="preserve">Peter molele        </t>
  </si>
  <si>
    <t>30/05/2019 16:19:32 moo PRY POD confirmed on NTS</t>
  </si>
  <si>
    <t>30/05/2019 16:19:38 moo PRY POD confirmed on NTS</t>
  </si>
  <si>
    <t>30/05/2019 06:37:33 TTS PLZ data sent to 3rd party</t>
  </si>
  <si>
    <t>MOSES</t>
  </si>
  <si>
    <t xml:space="preserve">a singh             </t>
  </si>
  <si>
    <t>30/05/2019 14:23:54 ssh DUR POD confirmed on NTS</t>
  </si>
  <si>
    <t>30/05/2019 14:59:13 ssh DUR POD confirmed on NTS</t>
  </si>
  <si>
    <t xml:space="preserve">nkanyiso            </t>
  </si>
  <si>
    <t>30/05/2019 17:35:03 nis PZB POD confirmed on NTS</t>
  </si>
  <si>
    <t xml:space="preserve">i Stanley           </t>
  </si>
  <si>
    <t>30/05/2019 15:55:27 UAT PLZ POD confirmed on NTS</t>
  </si>
  <si>
    <t xml:space="preserve">tan tan             </t>
  </si>
  <si>
    <t>30/05/2019 16:10:36 UAT PLZ POD confirmed on NTS</t>
  </si>
  <si>
    <t>30/05/2019 17:41:26 ssh DUR POD confirmed on NTS</t>
  </si>
  <si>
    <t xml:space="preserve">nokwanda            </t>
  </si>
  <si>
    <t>30/05/2019 18:11:25 ssh DUR POD confirmed on NTS</t>
  </si>
  <si>
    <t xml:space="preserve">sean                </t>
  </si>
  <si>
    <t>30/05/2019 15:58:52 NIS PZB POD confirmed on NTS</t>
  </si>
  <si>
    <t>30/05/2019 18:02:38 ssh DUR POD confirmed on NTS</t>
  </si>
  <si>
    <t>JM FREE   ASSOCIATES</t>
  </si>
  <si>
    <t xml:space="preserve">chris               </t>
  </si>
  <si>
    <t>30/05/2019 15:01:17 ssh DUR POD confirmed on NTS</t>
  </si>
  <si>
    <t xml:space="preserve">geroy               </t>
  </si>
  <si>
    <t>30/05/2019 18:16:58 ssh DUR POD confirmed on NTS</t>
  </si>
  <si>
    <t>30/05/2019 17:41:10 ssh DUR POD confirmed on NTS</t>
  </si>
  <si>
    <t>30/05/2019 14:47:58 ssh DUR POD confirmed on NTS</t>
  </si>
  <si>
    <t>30/05/2019 15:59:02 NIS PZB POD confirmed on NTS</t>
  </si>
  <si>
    <t xml:space="preserve">MARCEL              </t>
  </si>
  <si>
    <t>30/05/2019 17:12:00 TTS HST USSD POD</t>
  </si>
  <si>
    <t>30/05/2019 20:16:31 SSH DUR POD confirmed on NTS</t>
  </si>
  <si>
    <t>30/05/2019 18:18:17 ssh DUR POD confirmed on NTS</t>
  </si>
  <si>
    <t>31/05/2019 07:05:09 TTS DUR Del data to AND</t>
  </si>
  <si>
    <t>30/05/2019 14:25:02 ssh DUR POD confirmed on NTS</t>
  </si>
  <si>
    <t xml:space="preserve">Guy Guy             </t>
  </si>
  <si>
    <t>30/05/2019 21:14:04 CCH JNX POD confirmed on NTS</t>
  </si>
  <si>
    <t>30/05/2019 16:13:17 NIS PZB POD confirmed on NTS</t>
  </si>
  <si>
    <t xml:space="preserve">heila               </t>
  </si>
  <si>
    <t>30/05/2019 16:36:12 mel RCB POD confirmed on NTS</t>
  </si>
  <si>
    <t>30/05/2019 11:40:28 ssh DUR POD confirmed on NTS</t>
  </si>
  <si>
    <t>31/05/2019 08:28:00 TTS CPT Del data to AND</t>
  </si>
  <si>
    <t>30/05/2019 18:17:48 ssh DUR POD confirmed on NTS</t>
  </si>
  <si>
    <t xml:space="preserve">sakilile            </t>
  </si>
  <si>
    <t>30/05/2019 14:59:24 ssh DUR POD confirmed on NTS</t>
  </si>
  <si>
    <t>30/05/2019 18:11:18 ssh DUR POD confirmed on NTS</t>
  </si>
  <si>
    <t xml:space="preserve">saw   Naidoo        </t>
  </si>
  <si>
    <t>30/05/2019 20:16:39 SSH DUR POD confirmed on NTS</t>
  </si>
  <si>
    <t xml:space="preserve">andile              </t>
  </si>
  <si>
    <t>30/05/2019 14:58:59 ssh DUR POD confirmed on NTS</t>
  </si>
  <si>
    <t>30/05/2019 17:47:01 NGF CPT POD confirmed on NTS</t>
  </si>
  <si>
    <t xml:space="preserve">ANDISWA             </t>
  </si>
  <si>
    <t>30/05/2019 16:25:35 AVW ELS POD confirmed on NTS</t>
  </si>
  <si>
    <t>30/05/2019 17:27:16 NGF CPT POD confirmed on NTS</t>
  </si>
  <si>
    <t>30/05/2019 15:31:22 blm PRY POD confirmed on NTS</t>
  </si>
  <si>
    <t>30/05/2019 18:19:57 moo PRY POD confirmed on NTS</t>
  </si>
  <si>
    <t>30/05/2019 17:04:15 teb PRY POD confirmed on NTS</t>
  </si>
  <si>
    <t xml:space="preserve">Barina              </t>
  </si>
  <si>
    <t>30/05/2019 16:19:23 moo PRY POD confirmed on NTS</t>
  </si>
  <si>
    <t>30/05/2019 15:29:55 blm PRY POD confirmed on NTS</t>
  </si>
  <si>
    <t xml:space="preserve">SELLO               </t>
  </si>
  <si>
    <t>30/05/2019 15:38:36 lin PLZ POD confirmed on NTS</t>
  </si>
  <si>
    <t xml:space="preserve">CITRASHINE          </t>
  </si>
  <si>
    <t xml:space="preserve">JASON               </t>
  </si>
  <si>
    <t>30/05/2019 17:28:59 teb PRY POD confirmed on NTS</t>
  </si>
  <si>
    <t>31/05/2019 08:02:27 TTS PLZ Del data to AND</t>
  </si>
  <si>
    <t xml:space="preserve">khuzaya             </t>
  </si>
  <si>
    <t>30/05/2019 18:18:25 ssh DUR POD confirmed on NTS</t>
  </si>
  <si>
    <t xml:space="preserve">TIGER BRANDS        </t>
  </si>
  <si>
    <t xml:space="preserve">Charmaine           </t>
  </si>
  <si>
    <t>30/05/2019 20:16:47 SSH DUR POD confirmed on NTS</t>
  </si>
  <si>
    <t>30/05/2019 17:41:39 ssh DUR POD confirmed on NTS</t>
  </si>
  <si>
    <t>30/05/2019 16:13:27 NIS PZB POD confirmed on NTS</t>
  </si>
  <si>
    <t xml:space="preserve">netues              </t>
  </si>
  <si>
    <t>30/05/2019 16:46:13 nis PZB POD confirmed on NTS</t>
  </si>
  <si>
    <t xml:space="preserve">JACOB               </t>
  </si>
  <si>
    <t>30/05/2019 16:25:13 blm PRY POD confirmed on NTS</t>
  </si>
  <si>
    <t>30/05/2019 17:34:33 nis PZB POD confirmed on NTS</t>
  </si>
  <si>
    <t>OUT ON DELIVERY TO DAY 04/06/2019</t>
  </si>
  <si>
    <t xml:space="preserve">villy          </t>
  </si>
  <si>
    <t>STANDERTON</t>
  </si>
  <si>
    <t>GERT SIBANDE TVET CO</t>
  </si>
  <si>
    <t xml:space="preserve">arron               </t>
  </si>
  <si>
    <t>IMPALA PLATINIUM REF</t>
  </si>
  <si>
    <t xml:space="preserve">Zakhele             </t>
  </si>
  <si>
    <t xml:space="preserve">THABILE             </t>
  </si>
  <si>
    <t xml:space="preserve">Consignee not avai assist with contact number </t>
  </si>
  <si>
    <t>SUNNY MACHINES MANUF</t>
  </si>
  <si>
    <t xml:space="preserve">Christa             </t>
  </si>
  <si>
    <t xml:space="preserve">Janet               </t>
  </si>
  <si>
    <t xml:space="preserve">Elias               </t>
  </si>
  <si>
    <t xml:space="preserve">langa               </t>
  </si>
  <si>
    <t xml:space="preserve">OUTSTANDING POD </t>
  </si>
  <si>
    <t xml:space="preserve">supga               </t>
  </si>
  <si>
    <t xml:space="preserve">sugan               </t>
  </si>
  <si>
    <t xml:space="preserve">Lawrence            </t>
  </si>
  <si>
    <t>BOYSEN EXHAUST TECHN</t>
  </si>
  <si>
    <t xml:space="preserve">Kats                </t>
  </si>
  <si>
    <t>TOYOTA SA MOTORS (PT</t>
  </si>
  <si>
    <t xml:space="preserve">Shammy              </t>
  </si>
  <si>
    <t>CROWN CHICKENS PTY L</t>
  </si>
  <si>
    <t xml:space="preserve">francasca           </t>
  </si>
  <si>
    <t xml:space="preserve">Wilbur              </t>
  </si>
  <si>
    <t xml:space="preserve">MAGNET ELECTRICAL   </t>
  </si>
  <si>
    <t xml:space="preserve">zamo                </t>
  </si>
  <si>
    <t xml:space="preserve">VERONICA            </t>
  </si>
  <si>
    <t xml:space="preserve">VERNON              </t>
  </si>
  <si>
    <t xml:space="preserve">QABHILE             </t>
  </si>
  <si>
    <t xml:space="preserve">QUNTION             </t>
  </si>
  <si>
    <t xml:space="preserve">PRIDE               </t>
  </si>
  <si>
    <t xml:space="preserve">XPANDA PTY LTD      </t>
  </si>
  <si>
    <t xml:space="preserve">Ranni               </t>
  </si>
  <si>
    <t>CONTACT:DESMOND</t>
  </si>
  <si>
    <t xml:space="preserve">Ronaldo             </t>
  </si>
  <si>
    <t xml:space="preserve">neli                </t>
  </si>
  <si>
    <t xml:space="preserve">janet               </t>
  </si>
  <si>
    <t xml:space="preserve">Seroka              </t>
  </si>
  <si>
    <t xml:space="preserve">J Dambakey          </t>
  </si>
  <si>
    <t xml:space="preserve">UTI JET PARK        </t>
  </si>
  <si>
    <t xml:space="preserve">canton              </t>
  </si>
  <si>
    <t xml:space="preserve">RULA BULK MATERIALS </t>
  </si>
  <si>
    <t xml:space="preserve">FAITH               </t>
  </si>
  <si>
    <t xml:space="preserve">ANDREW MENTIS PTY   </t>
  </si>
  <si>
    <t xml:space="preserve">sarah               </t>
  </si>
  <si>
    <t xml:space="preserve">A. HUSTER MACH.     </t>
  </si>
  <si>
    <t xml:space="preserve">luther              </t>
  </si>
  <si>
    <t xml:space="preserve">Joseph              </t>
  </si>
  <si>
    <t>HARDWARE MECCA (PTY)</t>
  </si>
  <si>
    <t xml:space="preserve">d muruvel           </t>
  </si>
  <si>
    <t xml:space="preserve">elton               </t>
  </si>
  <si>
    <t xml:space="preserve">dima                </t>
  </si>
  <si>
    <t xml:space="preserve">B EMMA              </t>
  </si>
  <si>
    <t xml:space="preserve">DARTCOM SA PTY LTD  </t>
  </si>
  <si>
    <t xml:space="preserve">BRIDGET             </t>
  </si>
  <si>
    <t xml:space="preserve">Janel               </t>
  </si>
  <si>
    <t xml:space="preserve">SANELE              </t>
  </si>
  <si>
    <t xml:space="preserve">PETHU               </t>
  </si>
  <si>
    <t>AVENG GRINAKER - LTA</t>
  </si>
  <si>
    <t xml:space="preserve">leonard Mbokwane    </t>
  </si>
  <si>
    <t xml:space="preserve">Botha               </t>
  </si>
  <si>
    <t xml:space="preserve">SMART  FOOD         </t>
  </si>
  <si>
    <t xml:space="preserve">shameen             </t>
  </si>
  <si>
    <t xml:space="preserve">madwara             </t>
  </si>
  <si>
    <t>CONTROLELECTRIC - GA</t>
  </si>
  <si>
    <t xml:space="preserve">Julie               </t>
  </si>
  <si>
    <t xml:space="preserve">EBERSPACHER ROSSLYN </t>
  </si>
  <si>
    <t xml:space="preserve">BULELWA             </t>
  </si>
  <si>
    <t xml:space="preserve">francesca           </t>
  </si>
  <si>
    <t xml:space="preserve">mawt                </t>
  </si>
  <si>
    <t>PRX</t>
  </si>
  <si>
    <t xml:space="preserve">BOLTON FOOTWEAR PTY </t>
  </si>
  <si>
    <t xml:space="preserve">ashlene             </t>
  </si>
  <si>
    <t>ON1 - EAR</t>
  </si>
  <si>
    <t>STE</t>
  </si>
  <si>
    <t xml:space="preserve">HYDROQUIP           </t>
  </si>
  <si>
    <t>Collection of d</t>
  </si>
  <si>
    <t xml:space="preserve">The Glass design co </t>
  </si>
  <si>
    <t xml:space="preserve">Skynet to take </t>
  </si>
  <si>
    <t xml:space="preserve">MR CARRIERS         </t>
  </si>
  <si>
    <t xml:space="preserve">BRADCHER INDUSTRIAL </t>
  </si>
  <si>
    <t xml:space="preserve">KELP PRODUCTS (PTY) </t>
  </si>
  <si>
    <t xml:space="preserve">RESISTANT MATERIALS </t>
  </si>
  <si>
    <t xml:space="preserve">DIVFOOD   NAMPAK    </t>
  </si>
  <si>
    <t>TONGAAT HULLET STARC</t>
  </si>
  <si>
    <t xml:space="preserve">ANATECH             </t>
  </si>
  <si>
    <t>SANDTON</t>
  </si>
  <si>
    <t xml:space="preserve">PRIME INTERNATIONAL </t>
  </si>
  <si>
    <t>TENOVA TAKRAF AFRICA</t>
  </si>
  <si>
    <t xml:space="preserve">INTAKA TECH PTY LTD </t>
  </si>
  <si>
    <t xml:space="preserve">BMO FOOD SERVICES   </t>
  </si>
  <si>
    <t xml:space="preserve">BMG VRENDENBURG     </t>
  </si>
  <si>
    <t xml:space="preserve">Bosal Afrika Pty    </t>
  </si>
  <si>
    <t>VACUFORM 2000 (PTY)L</t>
  </si>
  <si>
    <t>L OREAL MANUFACTURIN</t>
  </si>
  <si>
    <t>OZONE TECHNOLOGIES A</t>
  </si>
  <si>
    <t>MASTER PNEUMATIC AFR</t>
  </si>
  <si>
    <t xml:space="preserve">SHAMROCK MILLING    </t>
  </si>
  <si>
    <t xml:space="preserve">2170689979+    </t>
  </si>
  <si>
    <t>PIONEER FOOD T A ESC</t>
  </si>
  <si>
    <t>PORT SHEPSTONE</t>
  </si>
  <si>
    <t>HYDROMATIC ENTERPRIS</t>
  </si>
  <si>
    <t xml:space="preserve">POLAR ICE CREAM     </t>
  </si>
  <si>
    <t xml:space="preserve">MARTIN   MATIRN     </t>
  </si>
  <si>
    <t xml:space="preserve">PELCHEM   NECSA PTY </t>
  </si>
  <si>
    <t xml:space="preserve">NPS                 </t>
  </si>
  <si>
    <t>FLUID CONTROL SERVIC</t>
  </si>
</sst>
</file>

<file path=xl/styles.xml><?xml version="1.0" encoding="utf-8"?>
<styleSheet xmlns="http://schemas.openxmlformats.org/spreadsheetml/2006/main">
  <numFmts count="1">
    <numFmt numFmtId="6" formatCode="&quot;R&quot;\ #,##0;[Red]&quot;R&quot;\ \-#,##0"/>
  </numFmts>
  <fonts count="3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14" fontId="0" fillId="0" borderId="0" xfId="0" applyNumberFormat="1"/>
    <xf numFmtId="20" fontId="0" fillId="0" borderId="0" xfId="0" applyNumberFormat="1"/>
    <xf numFmtId="0" fontId="2" fillId="0" borderId="4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20" fontId="2" fillId="0" borderId="5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20" fontId="2" fillId="2" borderId="3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20" fontId="2" fillId="0" borderId="6" xfId="0" applyNumberFormat="1" applyFont="1" applyBorder="1" applyAlignment="1">
      <alignment horizontal="center"/>
    </xf>
    <xf numFmtId="6" fontId="0" fillId="0" borderId="0" xfId="0" applyNumberFormat="1"/>
    <xf numFmtId="14" fontId="2" fillId="2" borderId="5" xfId="0" applyNumberFormat="1" applyFont="1" applyFill="1" applyBorder="1" applyAlignment="1">
      <alignment horizontal="center"/>
    </xf>
    <xf numFmtId="20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4" fontId="2" fillId="3" borderId="3" xfId="0" applyNumberFormat="1" applyFont="1" applyFill="1" applyBorder="1" applyAlignment="1">
      <alignment horizontal="center"/>
    </xf>
    <xf numFmtId="3" fontId="0" fillId="0" borderId="0" xfId="0" applyNumberForma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14" fontId="2" fillId="4" borderId="3" xfId="0" applyNumberFormat="1" applyFont="1" applyFill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4" fontId="2" fillId="0" borderId="11" xfId="0" applyNumberFormat="1" applyFont="1" applyBorder="1" applyAlignment="1">
      <alignment horizontal="center"/>
    </xf>
    <xf numFmtId="20" fontId="2" fillId="0" borderId="11" xfId="0" applyNumberFormat="1" applyFont="1" applyBorder="1" applyAlignment="1">
      <alignment horizontal="center"/>
    </xf>
    <xf numFmtId="14" fontId="2" fillId="0" borderId="0" xfId="0" applyNumberFormat="1" applyFont="1"/>
    <xf numFmtId="20" fontId="2" fillId="0" borderId="0" xfId="0" applyNumberFormat="1" applyFont="1"/>
    <xf numFmtId="0" fontId="2" fillId="5" borderId="3" xfId="0" applyFont="1" applyFill="1" applyBorder="1" applyAlignment="1">
      <alignment horizontal="center"/>
    </xf>
    <xf numFmtId="14" fontId="2" fillId="5" borderId="3" xfId="0" applyNumberFormat="1" applyFont="1" applyFill="1" applyBorder="1" applyAlignment="1">
      <alignment horizontal="center"/>
    </xf>
    <xf numFmtId="14" fontId="2" fillId="0" borderId="0" xfId="0" applyNumberFormat="1" applyFont="1" applyAlignment="1">
      <alignment horizontal="center"/>
    </xf>
    <xf numFmtId="20" fontId="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P4641"/>
  <sheetViews>
    <sheetView tabSelected="1" topLeftCell="A4393" workbookViewId="0">
      <selection activeCell="E4453" sqref="E4453"/>
    </sheetView>
  </sheetViews>
  <sheetFormatPr defaultRowHeight="15"/>
  <cols>
    <col min="1" max="1" width="8.42578125" customWidth="1"/>
    <col min="2" max="2" width="14.28515625" customWidth="1"/>
    <col min="3" max="3" width="10.85546875" customWidth="1"/>
    <col min="4" max="4" width="6.5703125" customWidth="1"/>
    <col min="5" max="5" width="12.5703125" style="46" customWidth="1"/>
    <col min="6" max="6" width="6.7109375" customWidth="1"/>
    <col min="7" max="7" width="6.42578125" customWidth="1"/>
    <col min="8" max="8" width="5.5703125" customWidth="1"/>
    <col min="9" max="9" width="16.7109375" style="47" bestFit="1" customWidth="1"/>
    <col min="10" max="10" width="18.42578125" style="47" bestFit="1" customWidth="1"/>
    <col min="11" max="11" width="14" style="47" bestFit="1" customWidth="1"/>
    <col min="12" max="12" width="9.7109375" style="48" bestFit="1" customWidth="1"/>
    <col min="13" max="13" width="22.7109375" style="47" bestFit="1" customWidth="1"/>
    <col min="14" max="15" width="53" bestFit="1" customWidth="1"/>
  </cols>
  <sheetData>
    <row r="1" spans="1:15" ht="15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1" t="s">
        <v>14</v>
      </c>
    </row>
    <row r="2" spans="1:15">
      <c r="A2" s="3" t="s">
        <v>15</v>
      </c>
      <c r="B2" s="3" t="str">
        <f>"FES1162687653"</f>
        <v>FES1162687653</v>
      </c>
      <c r="C2" s="4">
        <v>43587</v>
      </c>
      <c r="D2" s="3">
        <v>1</v>
      </c>
      <c r="E2" s="3">
        <v>2170684351</v>
      </c>
      <c r="F2" s="3" t="s">
        <v>16</v>
      </c>
      <c r="G2" s="3" t="s">
        <v>17</v>
      </c>
      <c r="H2" s="3" t="s">
        <v>17</v>
      </c>
      <c r="I2" s="3" t="s">
        <v>18</v>
      </c>
      <c r="J2" s="3" t="s">
        <v>19</v>
      </c>
      <c r="K2" s="4">
        <v>43591</v>
      </c>
      <c r="L2" s="5">
        <v>0.39583333333333331</v>
      </c>
      <c r="M2" s="3" t="s">
        <v>20</v>
      </c>
      <c r="N2" s="3" t="s">
        <v>21</v>
      </c>
      <c r="O2" s="3" t="s">
        <v>22</v>
      </c>
    </row>
    <row r="3" spans="1:15">
      <c r="A3" s="6" t="s">
        <v>15</v>
      </c>
      <c r="B3" s="6" t="str">
        <f>"FES1162687623"</f>
        <v>FES1162687623</v>
      </c>
      <c r="C3" s="7">
        <v>43587</v>
      </c>
      <c r="D3" s="6">
        <v>1</v>
      </c>
      <c r="E3" s="6">
        <v>2170686521</v>
      </c>
      <c r="F3" s="6" t="s">
        <v>16</v>
      </c>
      <c r="G3" s="6" t="s">
        <v>17</v>
      </c>
      <c r="H3" s="6" t="s">
        <v>17</v>
      </c>
      <c r="I3" s="6" t="s">
        <v>23</v>
      </c>
      <c r="J3" s="6" t="s">
        <v>24</v>
      </c>
      <c r="K3" s="7">
        <v>43592</v>
      </c>
      <c r="L3" s="8">
        <v>0.59375</v>
      </c>
      <c r="M3" s="6" t="s">
        <v>25</v>
      </c>
      <c r="N3" s="6" t="s">
        <v>21</v>
      </c>
      <c r="O3" s="6" t="s">
        <v>22</v>
      </c>
    </row>
    <row r="4" spans="1:15">
      <c r="A4" s="6" t="s">
        <v>15</v>
      </c>
      <c r="B4" s="6" t="str">
        <f>"FES1162687724"</f>
        <v>FES1162687724</v>
      </c>
      <c r="C4" s="7">
        <v>43587</v>
      </c>
      <c r="D4" s="6">
        <v>1</v>
      </c>
      <c r="E4" s="6">
        <v>2170686566</v>
      </c>
      <c r="F4" s="6" t="s">
        <v>16</v>
      </c>
      <c r="G4" s="6" t="s">
        <v>17</v>
      </c>
      <c r="H4" s="6" t="s">
        <v>17</v>
      </c>
      <c r="I4" s="6" t="s">
        <v>26</v>
      </c>
      <c r="J4" s="6" t="s">
        <v>27</v>
      </c>
      <c r="K4" s="7">
        <v>43588</v>
      </c>
      <c r="L4" s="8">
        <v>0.33333333333333331</v>
      </c>
      <c r="M4" s="6" t="s">
        <v>28</v>
      </c>
      <c r="N4" s="6" t="s">
        <v>21</v>
      </c>
      <c r="O4" s="6" t="s">
        <v>22</v>
      </c>
    </row>
    <row r="5" spans="1:15">
      <c r="A5" s="6" t="s">
        <v>15</v>
      </c>
      <c r="B5" s="6" t="str">
        <f>"FES1162687692"</f>
        <v>FES1162687692</v>
      </c>
      <c r="C5" s="7">
        <v>43587</v>
      </c>
      <c r="D5" s="6">
        <v>1</v>
      </c>
      <c r="E5" s="6">
        <v>2170684235</v>
      </c>
      <c r="F5" s="6" t="s">
        <v>16</v>
      </c>
      <c r="G5" s="6" t="s">
        <v>17</v>
      </c>
      <c r="H5" s="6" t="s">
        <v>17</v>
      </c>
      <c r="I5" s="6" t="s">
        <v>29</v>
      </c>
      <c r="J5" s="6" t="s">
        <v>30</v>
      </c>
      <c r="K5" s="7">
        <v>43588</v>
      </c>
      <c r="L5" s="8">
        <v>0.38750000000000001</v>
      </c>
      <c r="M5" s="6" t="s">
        <v>31</v>
      </c>
      <c r="N5" s="6" t="s">
        <v>21</v>
      </c>
      <c r="O5" s="6" t="s">
        <v>22</v>
      </c>
    </row>
    <row r="6" spans="1:15" hidden="1">
      <c r="A6" t="s">
        <v>15</v>
      </c>
      <c r="B6" t="str">
        <f>"FES1162687454"</f>
        <v>FES1162687454</v>
      </c>
      <c r="C6" s="9">
        <v>43587</v>
      </c>
      <c r="D6">
        <v>1</v>
      </c>
      <c r="E6">
        <v>2170685908</v>
      </c>
      <c r="F6" t="s">
        <v>16</v>
      </c>
      <c r="G6" t="s">
        <v>17</v>
      </c>
      <c r="H6" t="s">
        <v>32</v>
      </c>
      <c r="I6" t="s">
        <v>33</v>
      </c>
      <c r="J6" t="s">
        <v>34</v>
      </c>
      <c r="K6" s="9">
        <v>43588</v>
      </c>
      <c r="L6" s="10">
        <v>0.36319444444444443</v>
      </c>
      <c r="M6" t="s">
        <v>35</v>
      </c>
      <c r="N6" t="s">
        <v>36</v>
      </c>
      <c r="O6" t="s">
        <v>22</v>
      </c>
    </row>
    <row r="7" spans="1:15" hidden="1">
      <c r="A7" t="s">
        <v>15</v>
      </c>
      <c r="B7" t="str">
        <f>"FES1162687479"</f>
        <v>FES1162687479</v>
      </c>
      <c r="C7" s="9">
        <v>43587</v>
      </c>
      <c r="D7">
        <v>1</v>
      </c>
      <c r="E7">
        <v>2170686514</v>
      </c>
      <c r="F7" t="s">
        <v>16</v>
      </c>
      <c r="G7" t="s">
        <v>17</v>
      </c>
      <c r="H7" t="s">
        <v>37</v>
      </c>
      <c r="I7" t="s">
        <v>38</v>
      </c>
      <c r="J7" t="s">
        <v>39</v>
      </c>
      <c r="K7" s="9">
        <v>43588</v>
      </c>
      <c r="L7" s="10">
        <v>0.38958333333333334</v>
      </c>
      <c r="M7" t="s">
        <v>40</v>
      </c>
      <c r="N7" t="s">
        <v>41</v>
      </c>
      <c r="O7" t="s">
        <v>22</v>
      </c>
    </row>
    <row r="8" spans="1:15" hidden="1">
      <c r="A8" t="s">
        <v>15</v>
      </c>
      <c r="B8" t="str">
        <f>"FES1162687481"</f>
        <v>FES1162687481</v>
      </c>
      <c r="C8" s="9">
        <v>43587</v>
      </c>
      <c r="D8">
        <v>1</v>
      </c>
      <c r="E8">
        <v>2170686516</v>
      </c>
      <c r="F8" t="s">
        <v>16</v>
      </c>
      <c r="G8" t="s">
        <v>17</v>
      </c>
      <c r="H8" t="s">
        <v>37</v>
      </c>
      <c r="I8" t="s">
        <v>38</v>
      </c>
      <c r="J8" t="s">
        <v>39</v>
      </c>
      <c r="K8" s="9">
        <v>43588</v>
      </c>
      <c r="L8" s="10">
        <v>0.38958333333333334</v>
      </c>
      <c r="M8" t="s">
        <v>40</v>
      </c>
      <c r="N8" t="s">
        <v>42</v>
      </c>
      <c r="O8" t="s">
        <v>22</v>
      </c>
    </row>
    <row r="9" spans="1:15" hidden="1">
      <c r="A9" t="s">
        <v>15</v>
      </c>
      <c r="B9" t="str">
        <f>"FES1162687615"</f>
        <v>FES1162687615</v>
      </c>
      <c r="C9" s="9">
        <v>43587</v>
      </c>
      <c r="D9">
        <v>1</v>
      </c>
      <c r="E9">
        <v>2170686453</v>
      </c>
      <c r="F9" t="s">
        <v>16</v>
      </c>
      <c r="G9" t="s">
        <v>17</v>
      </c>
      <c r="H9" t="s">
        <v>43</v>
      </c>
      <c r="I9" t="s">
        <v>44</v>
      </c>
      <c r="J9" t="s">
        <v>45</v>
      </c>
      <c r="K9" s="9">
        <v>43588</v>
      </c>
      <c r="L9" s="10">
        <v>0.3527777777777778</v>
      </c>
      <c r="M9" t="s">
        <v>46</v>
      </c>
      <c r="N9" t="s">
        <v>47</v>
      </c>
      <c r="O9" t="s">
        <v>22</v>
      </c>
    </row>
    <row r="10" spans="1:15" hidden="1">
      <c r="A10" t="s">
        <v>15</v>
      </c>
      <c r="B10" t="str">
        <f>"FES1162687560"</f>
        <v>FES1162687560</v>
      </c>
      <c r="C10" s="9">
        <v>43587</v>
      </c>
      <c r="D10">
        <v>1</v>
      </c>
      <c r="E10">
        <v>2170685716</v>
      </c>
      <c r="F10" t="s">
        <v>16</v>
      </c>
      <c r="G10" t="s">
        <v>17</v>
      </c>
      <c r="H10" t="s">
        <v>43</v>
      </c>
      <c r="I10" t="s">
        <v>44</v>
      </c>
      <c r="J10" t="s">
        <v>48</v>
      </c>
      <c r="K10" s="9">
        <v>43588</v>
      </c>
      <c r="L10" s="10">
        <v>0.37986111111111115</v>
      </c>
      <c r="M10" t="s">
        <v>49</v>
      </c>
      <c r="N10" t="s">
        <v>50</v>
      </c>
      <c r="O10" t="s">
        <v>22</v>
      </c>
    </row>
    <row r="11" spans="1:15" hidden="1">
      <c r="A11" t="s">
        <v>15</v>
      </c>
      <c r="B11" t="str">
        <f>"FES1162687658"</f>
        <v>FES1162687658</v>
      </c>
      <c r="C11" s="9">
        <v>43587</v>
      </c>
      <c r="D11">
        <v>1</v>
      </c>
      <c r="E11">
        <v>2170684441</v>
      </c>
      <c r="F11" t="s">
        <v>16</v>
      </c>
      <c r="G11" t="s">
        <v>17</v>
      </c>
      <c r="H11" t="s">
        <v>43</v>
      </c>
      <c r="I11" t="s">
        <v>44</v>
      </c>
      <c r="J11" t="s">
        <v>51</v>
      </c>
      <c r="K11" s="9">
        <v>43588</v>
      </c>
      <c r="L11" s="10">
        <v>0.36249999999999999</v>
      </c>
      <c r="M11" t="s">
        <v>52</v>
      </c>
      <c r="N11" t="s">
        <v>53</v>
      </c>
      <c r="O11" t="s">
        <v>22</v>
      </c>
    </row>
    <row r="12" spans="1:15" hidden="1">
      <c r="A12" t="s">
        <v>15</v>
      </c>
      <c r="B12" t="str">
        <f>"FES1162687671"</f>
        <v>FES1162687671</v>
      </c>
      <c r="C12" s="9">
        <v>43587</v>
      </c>
      <c r="D12">
        <v>1</v>
      </c>
      <c r="E12">
        <v>2170686545</v>
      </c>
      <c r="F12" t="s">
        <v>16</v>
      </c>
      <c r="G12" t="s">
        <v>17</v>
      </c>
      <c r="H12" t="s">
        <v>43</v>
      </c>
      <c r="I12" t="s">
        <v>54</v>
      </c>
      <c r="J12" t="s">
        <v>55</v>
      </c>
      <c r="K12" s="9">
        <v>43588</v>
      </c>
      <c r="L12" s="10">
        <v>0.41666666666666669</v>
      </c>
      <c r="M12" t="s">
        <v>56</v>
      </c>
      <c r="N12" t="s">
        <v>57</v>
      </c>
      <c r="O12" t="s">
        <v>22</v>
      </c>
    </row>
    <row r="13" spans="1:15" hidden="1">
      <c r="A13" t="s">
        <v>15</v>
      </c>
      <c r="B13" t="str">
        <f>"FES1162687536"</f>
        <v>FES1162687536</v>
      </c>
      <c r="C13" s="9">
        <v>43587</v>
      </c>
      <c r="D13">
        <v>2</v>
      </c>
      <c r="E13">
        <v>2170684895</v>
      </c>
      <c r="F13" t="s">
        <v>58</v>
      </c>
      <c r="G13" t="s">
        <v>59</v>
      </c>
      <c r="H13" t="s">
        <v>43</v>
      </c>
      <c r="I13" t="s">
        <v>60</v>
      </c>
      <c r="J13" t="s">
        <v>61</v>
      </c>
      <c r="K13" s="9">
        <v>43592</v>
      </c>
      <c r="L13" s="10">
        <v>0.54861111111111105</v>
      </c>
      <c r="M13" t="s">
        <v>62</v>
      </c>
      <c r="N13" t="s">
        <v>63</v>
      </c>
      <c r="O13" t="s">
        <v>22</v>
      </c>
    </row>
    <row r="14" spans="1:15">
      <c r="A14" s="6" t="s">
        <v>15</v>
      </c>
      <c r="B14" s="6" t="str">
        <f>"FES1162687540"</f>
        <v>FES1162687540</v>
      </c>
      <c r="C14" s="7">
        <v>43587</v>
      </c>
      <c r="D14" s="6">
        <v>1</v>
      </c>
      <c r="E14" s="6">
        <v>2170684993</v>
      </c>
      <c r="F14" s="6" t="s">
        <v>16</v>
      </c>
      <c r="G14" s="6" t="s">
        <v>17</v>
      </c>
      <c r="H14" s="6" t="s">
        <v>17</v>
      </c>
      <c r="I14" s="6" t="s">
        <v>64</v>
      </c>
      <c r="J14" s="6" t="s">
        <v>65</v>
      </c>
      <c r="K14" s="7">
        <v>43588</v>
      </c>
      <c r="L14" s="8">
        <v>0.46111111111111108</v>
      </c>
      <c r="M14" s="6" t="s">
        <v>66</v>
      </c>
      <c r="N14" s="6" t="s">
        <v>21</v>
      </c>
      <c r="O14" s="6" t="s">
        <v>22</v>
      </c>
    </row>
    <row r="15" spans="1:15">
      <c r="A15" s="6" t="s">
        <v>15</v>
      </c>
      <c r="B15" s="6" t="str">
        <f>"FES1162687480"</f>
        <v>FES1162687480</v>
      </c>
      <c r="C15" s="7">
        <v>43587</v>
      </c>
      <c r="D15" s="6">
        <v>1</v>
      </c>
      <c r="E15" s="6">
        <v>2170686515</v>
      </c>
      <c r="F15" s="6" t="s">
        <v>16</v>
      </c>
      <c r="G15" s="6" t="s">
        <v>17</v>
      </c>
      <c r="H15" s="6" t="s">
        <v>17</v>
      </c>
      <c r="I15" s="6" t="s">
        <v>67</v>
      </c>
      <c r="J15" s="6" t="s">
        <v>68</v>
      </c>
      <c r="K15" s="7">
        <v>43588</v>
      </c>
      <c r="L15" s="8">
        <v>0.63194444444444442</v>
      </c>
      <c r="M15" s="6" t="s">
        <v>69</v>
      </c>
      <c r="N15" s="6" t="s">
        <v>21</v>
      </c>
      <c r="O15" s="6" t="s">
        <v>22</v>
      </c>
    </row>
    <row r="16" spans="1:15" hidden="1">
      <c r="A16" t="s">
        <v>15</v>
      </c>
      <c r="B16" t="str">
        <f>"FES1162687649"</f>
        <v>FES1162687649</v>
      </c>
      <c r="C16" s="9">
        <v>43587</v>
      </c>
      <c r="D16">
        <v>1</v>
      </c>
      <c r="E16">
        <v>2170684255</v>
      </c>
      <c r="F16" t="s">
        <v>58</v>
      </c>
      <c r="G16" t="s">
        <v>59</v>
      </c>
      <c r="H16" t="s">
        <v>59</v>
      </c>
      <c r="I16" t="s">
        <v>23</v>
      </c>
      <c r="J16" t="s">
        <v>70</v>
      </c>
      <c r="K16" s="9">
        <v>43591</v>
      </c>
      <c r="L16" s="10">
        <v>0.33333333333333331</v>
      </c>
      <c r="M16" t="s">
        <v>31</v>
      </c>
      <c r="N16" t="s">
        <v>71</v>
      </c>
      <c r="O16" t="s">
        <v>22</v>
      </c>
    </row>
    <row r="17" spans="1:15" hidden="1">
      <c r="A17" t="s">
        <v>15</v>
      </c>
      <c r="B17" t="str">
        <f>"FES1162687641"</f>
        <v>FES1162687641</v>
      </c>
      <c r="C17" s="9">
        <v>43587</v>
      </c>
      <c r="D17">
        <v>1</v>
      </c>
      <c r="E17">
        <v>2170682210</v>
      </c>
      <c r="F17" t="s">
        <v>16</v>
      </c>
      <c r="G17" t="s">
        <v>17</v>
      </c>
      <c r="H17" t="s">
        <v>43</v>
      </c>
      <c r="I17" t="s">
        <v>44</v>
      </c>
      <c r="J17" t="s">
        <v>72</v>
      </c>
      <c r="K17" s="9">
        <v>43588</v>
      </c>
      <c r="L17" s="10">
        <v>0.41666666666666669</v>
      </c>
      <c r="M17" t="s">
        <v>73</v>
      </c>
      <c r="N17" t="s">
        <v>74</v>
      </c>
      <c r="O17" t="s">
        <v>22</v>
      </c>
    </row>
    <row r="18" spans="1:15" hidden="1">
      <c r="A18" t="s">
        <v>15</v>
      </c>
      <c r="B18" t="str">
        <f>"FES1162687526"</f>
        <v>FES1162687526</v>
      </c>
      <c r="C18" s="9">
        <v>43587</v>
      </c>
      <c r="D18">
        <v>1</v>
      </c>
      <c r="E18">
        <v>2170684480</v>
      </c>
      <c r="F18" t="s">
        <v>16</v>
      </c>
      <c r="G18" t="s">
        <v>17</v>
      </c>
      <c r="H18" t="s">
        <v>43</v>
      </c>
      <c r="I18" t="s">
        <v>75</v>
      </c>
      <c r="J18" t="s">
        <v>76</v>
      </c>
      <c r="K18" s="9">
        <v>43588</v>
      </c>
      <c r="L18" s="10">
        <v>0.5</v>
      </c>
      <c r="M18" t="s">
        <v>77</v>
      </c>
      <c r="N18" t="s">
        <v>78</v>
      </c>
      <c r="O18" t="s">
        <v>22</v>
      </c>
    </row>
    <row r="19" spans="1:15" hidden="1">
      <c r="A19" t="s">
        <v>15</v>
      </c>
      <c r="B19" t="str">
        <f>"FES1162687587"</f>
        <v>FES1162687587</v>
      </c>
      <c r="C19" s="9">
        <v>43587</v>
      </c>
      <c r="D19">
        <v>1</v>
      </c>
      <c r="E19">
        <v>2170686285</v>
      </c>
      <c r="F19" t="s">
        <v>16</v>
      </c>
      <c r="G19" t="s">
        <v>17</v>
      </c>
      <c r="H19" t="s">
        <v>43</v>
      </c>
      <c r="I19" t="s">
        <v>60</v>
      </c>
      <c r="J19" t="s">
        <v>61</v>
      </c>
      <c r="K19" s="9">
        <v>43591</v>
      </c>
      <c r="L19" s="10">
        <v>0.54999999999999993</v>
      </c>
      <c r="M19" t="s">
        <v>79</v>
      </c>
      <c r="N19" t="s">
        <v>80</v>
      </c>
      <c r="O19" t="s">
        <v>22</v>
      </c>
    </row>
    <row r="20" spans="1:15">
      <c r="A20" s="6" t="s">
        <v>15</v>
      </c>
      <c r="B20" s="6" t="str">
        <f>"FES1162687566"</f>
        <v>FES1162687566</v>
      </c>
      <c r="C20" s="7">
        <v>43587</v>
      </c>
      <c r="D20" s="6">
        <v>1</v>
      </c>
      <c r="E20" s="6">
        <v>2170685918</v>
      </c>
      <c r="F20" s="6" t="s">
        <v>16</v>
      </c>
      <c r="G20" s="6" t="s">
        <v>17</v>
      </c>
      <c r="H20" s="6" t="s">
        <v>17</v>
      </c>
      <c r="I20" s="6" t="s">
        <v>81</v>
      </c>
      <c r="J20" s="6" t="s">
        <v>82</v>
      </c>
      <c r="K20" s="7">
        <v>43591</v>
      </c>
      <c r="L20" s="8">
        <v>0.43124999999999997</v>
      </c>
      <c r="M20" s="6" t="s">
        <v>83</v>
      </c>
      <c r="N20" s="6" t="s">
        <v>21</v>
      </c>
      <c r="O20" s="6" t="s">
        <v>22</v>
      </c>
    </row>
    <row r="21" spans="1:15">
      <c r="A21" s="6" t="s">
        <v>15</v>
      </c>
      <c r="B21" s="6" t="str">
        <f>"FES1162687590"</f>
        <v>FES1162687590</v>
      </c>
      <c r="C21" s="7">
        <v>43587</v>
      </c>
      <c r="D21" s="6">
        <v>1</v>
      </c>
      <c r="E21" s="6">
        <v>21706868299</v>
      </c>
      <c r="F21" s="6" t="s">
        <v>16</v>
      </c>
      <c r="G21" s="6" t="s">
        <v>17</v>
      </c>
      <c r="H21" s="6" t="s">
        <v>17</v>
      </c>
      <c r="I21" s="6" t="s">
        <v>84</v>
      </c>
      <c r="J21" s="6" t="s">
        <v>85</v>
      </c>
      <c r="K21" s="7">
        <v>43588</v>
      </c>
      <c r="L21" s="8">
        <v>0.4375</v>
      </c>
      <c r="M21" s="6" t="s">
        <v>86</v>
      </c>
      <c r="N21" s="6" t="s">
        <v>21</v>
      </c>
      <c r="O21" s="6" t="s">
        <v>22</v>
      </c>
    </row>
    <row r="22" spans="1:15">
      <c r="A22" s="6" t="s">
        <v>15</v>
      </c>
      <c r="B22" s="6" t="str">
        <f>"FES1162687547"</f>
        <v>FES1162687547</v>
      </c>
      <c r="C22" s="7">
        <v>43587</v>
      </c>
      <c r="D22" s="6">
        <v>1</v>
      </c>
      <c r="E22" s="6">
        <v>2170685125</v>
      </c>
      <c r="F22" s="6" t="s">
        <v>16</v>
      </c>
      <c r="G22" s="6" t="s">
        <v>17</v>
      </c>
      <c r="H22" s="6" t="s">
        <v>17</v>
      </c>
      <c r="I22" s="6" t="s">
        <v>26</v>
      </c>
      <c r="J22" s="6" t="s">
        <v>87</v>
      </c>
      <c r="K22" s="7">
        <v>43588</v>
      </c>
      <c r="L22" s="8">
        <v>0.33333333333333331</v>
      </c>
      <c r="M22" s="6" t="s">
        <v>88</v>
      </c>
      <c r="N22" s="6" t="s">
        <v>21</v>
      </c>
      <c r="O22" s="6" t="s">
        <v>22</v>
      </c>
    </row>
    <row r="23" spans="1:15">
      <c r="A23" s="6" t="s">
        <v>15</v>
      </c>
      <c r="B23" s="6" t="str">
        <f>"FES1162687597"</f>
        <v>FES1162687597</v>
      </c>
      <c r="C23" s="7">
        <v>43587</v>
      </c>
      <c r="D23" s="6">
        <v>1</v>
      </c>
      <c r="E23" s="6">
        <v>2170686332</v>
      </c>
      <c r="F23" s="6" t="s">
        <v>16</v>
      </c>
      <c r="G23" s="6" t="s">
        <v>17</v>
      </c>
      <c r="H23" s="6" t="s">
        <v>17</v>
      </c>
      <c r="I23" s="6" t="s">
        <v>18</v>
      </c>
      <c r="J23" s="6" t="s">
        <v>89</v>
      </c>
      <c r="K23" s="7">
        <v>43588</v>
      </c>
      <c r="L23" s="8">
        <v>0.33333333333333331</v>
      </c>
      <c r="M23" s="6" t="s">
        <v>90</v>
      </c>
      <c r="N23" s="6" t="s">
        <v>21</v>
      </c>
      <c r="O23" s="6" t="s">
        <v>22</v>
      </c>
    </row>
    <row r="24" spans="1:15">
      <c r="A24" s="6" t="s">
        <v>15</v>
      </c>
      <c r="B24" s="6" t="str">
        <f>"FES1162687546"</f>
        <v>FES1162687546</v>
      </c>
      <c r="C24" s="7">
        <v>43587</v>
      </c>
      <c r="D24" s="6">
        <v>1</v>
      </c>
      <c r="E24" s="6">
        <v>2170685120</v>
      </c>
      <c r="F24" s="6" t="s">
        <v>16</v>
      </c>
      <c r="G24" s="6" t="s">
        <v>17</v>
      </c>
      <c r="H24" s="6" t="s">
        <v>17</v>
      </c>
      <c r="I24" s="6" t="s">
        <v>18</v>
      </c>
      <c r="J24" s="6" t="s">
        <v>91</v>
      </c>
      <c r="K24" s="7">
        <v>43588</v>
      </c>
      <c r="L24" s="8">
        <v>0.4375</v>
      </c>
      <c r="M24" s="6" t="s">
        <v>92</v>
      </c>
      <c r="N24" s="6" t="s">
        <v>21</v>
      </c>
      <c r="O24" s="6" t="s">
        <v>22</v>
      </c>
    </row>
    <row r="25" spans="1:15" hidden="1">
      <c r="A25" t="s">
        <v>15</v>
      </c>
      <c r="B25" t="str">
        <f>"FES1162687721"</f>
        <v>FES1162687721</v>
      </c>
      <c r="C25" s="9">
        <v>43587</v>
      </c>
      <c r="D25">
        <v>1</v>
      </c>
      <c r="E25">
        <v>2170686565</v>
      </c>
      <c r="F25" t="s">
        <v>16</v>
      </c>
      <c r="G25" t="s">
        <v>17</v>
      </c>
      <c r="H25" t="s">
        <v>59</v>
      </c>
      <c r="I25" t="s">
        <v>18</v>
      </c>
      <c r="J25" t="s">
        <v>93</v>
      </c>
      <c r="K25" s="9">
        <v>43591</v>
      </c>
      <c r="L25" s="10">
        <v>0.43055555555555558</v>
      </c>
      <c r="M25" t="s">
        <v>94</v>
      </c>
      <c r="N25" t="s">
        <v>95</v>
      </c>
      <c r="O25" t="s">
        <v>22</v>
      </c>
    </row>
    <row r="26" spans="1:15">
      <c r="A26" s="6" t="s">
        <v>15</v>
      </c>
      <c r="B26" s="6" t="str">
        <f>"FES1162687512"</f>
        <v>FES1162687512</v>
      </c>
      <c r="C26" s="7">
        <v>43587</v>
      </c>
      <c r="D26" s="6">
        <v>1</v>
      </c>
      <c r="E26" s="6">
        <v>2170683083</v>
      </c>
      <c r="F26" s="6" t="s">
        <v>16</v>
      </c>
      <c r="G26" s="6" t="s">
        <v>17</v>
      </c>
      <c r="H26" s="6" t="s">
        <v>17</v>
      </c>
      <c r="I26" s="6" t="s">
        <v>23</v>
      </c>
      <c r="J26" s="6" t="s">
        <v>96</v>
      </c>
      <c r="K26" s="7">
        <v>43588</v>
      </c>
      <c r="L26" s="8">
        <v>0.35138888888888892</v>
      </c>
      <c r="M26" s="6" t="s">
        <v>97</v>
      </c>
      <c r="N26" s="6" t="s">
        <v>21</v>
      </c>
      <c r="O26" s="6" t="s">
        <v>22</v>
      </c>
    </row>
    <row r="27" spans="1:15">
      <c r="A27" s="6" t="s">
        <v>15</v>
      </c>
      <c r="B27" s="6" t="str">
        <f>"FES1162687618"</f>
        <v>FES1162687618</v>
      </c>
      <c r="C27" s="7">
        <v>43587</v>
      </c>
      <c r="D27" s="6">
        <v>1</v>
      </c>
      <c r="E27" s="6">
        <v>21706876504</v>
      </c>
      <c r="F27" s="6" t="s">
        <v>16</v>
      </c>
      <c r="G27" s="6" t="s">
        <v>17</v>
      </c>
      <c r="H27" s="6" t="s">
        <v>17</v>
      </c>
      <c r="I27" s="6" t="s">
        <v>64</v>
      </c>
      <c r="J27" s="6" t="s">
        <v>98</v>
      </c>
      <c r="K27" s="7">
        <v>43588</v>
      </c>
      <c r="L27" s="8">
        <v>0.33333333333333331</v>
      </c>
      <c r="M27" s="6" t="s">
        <v>99</v>
      </c>
      <c r="N27" s="6" t="s">
        <v>21</v>
      </c>
      <c r="O27" s="6" t="s">
        <v>22</v>
      </c>
    </row>
    <row r="28" spans="1:15">
      <c r="A28" s="6" t="s">
        <v>15</v>
      </c>
      <c r="B28" s="6" t="str">
        <f>"FES1162687598"</f>
        <v>FES1162687598</v>
      </c>
      <c r="C28" s="7">
        <v>43587</v>
      </c>
      <c r="D28" s="6">
        <v>1</v>
      </c>
      <c r="E28" s="6">
        <v>2170686337</v>
      </c>
      <c r="F28" s="6" t="s">
        <v>16</v>
      </c>
      <c r="G28" s="6" t="s">
        <v>17</v>
      </c>
      <c r="H28" s="6" t="s">
        <v>17</v>
      </c>
      <c r="I28" s="6" t="s">
        <v>18</v>
      </c>
      <c r="J28" s="6" t="s">
        <v>89</v>
      </c>
      <c r="K28" s="7">
        <v>43588</v>
      </c>
      <c r="L28" s="8">
        <v>0.33333333333333331</v>
      </c>
      <c r="M28" s="6" t="s">
        <v>100</v>
      </c>
      <c r="N28" s="6" t="s">
        <v>21</v>
      </c>
      <c r="O28" s="6" t="s">
        <v>22</v>
      </c>
    </row>
    <row r="29" spans="1:15">
      <c r="A29" s="6" t="s">
        <v>15</v>
      </c>
      <c r="B29" s="6" t="str">
        <f>"FES1162687694"</f>
        <v>FES1162687694</v>
      </c>
      <c r="C29" s="7">
        <v>43587</v>
      </c>
      <c r="D29" s="6">
        <v>1</v>
      </c>
      <c r="E29" s="6">
        <v>2170684334</v>
      </c>
      <c r="F29" s="6" t="s">
        <v>16</v>
      </c>
      <c r="G29" s="6" t="s">
        <v>17</v>
      </c>
      <c r="H29" s="6" t="s">
        <v>17</v>
      </c>
      <c r="I29" s="6" t="s">
        <v>23</v>
      </c>
      <c r="J29" s="6" t="s">
        <v>101</v>
      </c>
      <c r="K29" s="7">
        <v>43592</v>
      </c>
      <c r="L29" s="8">
        <v>0.45624999999999999</v>
      </c>
      <c r="M29" s="6" t="s">
        <v>102</v>
      </c>
      <c r="N29" s="6" t="s">
        <v>21</v>
      </c>
      <c r="O29" s="6" t="s">
        <v>22</v>
      </c>
    </row>
    <row r="30" spans="1:15">
      <c r="A30" s="6" t="s">
        <v>15</v>
      </c>
      <c r="B30" s="6" t="str">
        <f>"FES1162687672"</f>
        <v>FES1162687672</v>
      </c>
      <c r="C30" s="7">
        <v>43587</v>
      </c>
      <c r="D30" s="6">
        <v>1</v>
      </c>
      <c r="E30" s="6">
        <v>2170686549</v>
      </c>
      <c r="F30" s="6" t="s">
        <v>16</v>
      </c>
      <c r="G30" s="6" t="s">
        <v>17</v>
      </c>
      <c r="H30" s="6" t="s">
        <v>17</v>
      </c>
      <c r="I30" s="6" t="s">
        <v>103</v>
      </c>
      <c r="J30" s="6" t="s">
        <v>104</v>
      </c>
      <c r="K30" s="7">
        <v>43588</v>
      </c>
      <c r="L30" s="8">
        <v>0.49305555555555558</v>
      </c>
      <c r="M30" s="6" t="s">
        <v>105</v>
      </c>
      <c r="N30" s="6" t="s">
        <v>21</v>
      </c>
      <c r="O30" s="6" t="s">
        <v>22</v>
      </c>
    </row>
    <row r="31" spans="1:15">
      <c r="A31" s="6" t="s">
        <v>15</v>
      </c>
      <c r="B31" s="6" t="str">
        <f>"FES1162687582"</f>
        <v>FES1162687582</v>
      </c>
      <c r="C31" s="7">
        <v>43587</v>
      </c>
      <c r="D31" s="6">
        <v>1</v>
      </c>
      <c r="E31" s="6">
        <v>2170686183</v>
      </c>
      <c r="F31" s="6" t="s">
        <v>16</v>
      </c>
      <c r="G31" s="6" t="s">
        <v>17</v>
      </c>
      <c r="H31" s="6" t="s">
        <v>17</v>
      </c>
      <c r="I31" s="6" t="s">
        <v>23</v>
      </c>
      <c r="J31" s="6" t="s">
        <v>106</v>
      </c>
      <c r="K31" s="7">
        <v>43588</v>
      </c>
      <c r="L31" s="8">
        <v>0.3611111111111111</v>
      </c>
      <c r="M31" s="6" t="s">
        <v>107</v>
      </c>
      <c r="N31" s="6" t="s">
        <v>21</v>
      </c>
      <c r="O31" s="6" t="s">
        <v>22</v>
      </c>
    </row>
    <row r="32" spans="1:15">
      <c r="A32" s="6" t="s">
        <v>15</v>
      </c>
      <c r="B32" s="6" t="str">
        <f>"FES1162687601"</f>
        <v>FES1162687601</v>
      </c>
      <c r="C32" s="7">
        <v>43587</v>
      </c>
      <c r="D32" s="6">
        <v>1</v>
      </c>
      <c r="E32" s="6">
        <v>2176868637</v>
      </c>
      <c r="F32" s="6" t="s">
        <v>16</v>
      </c>
      <c r="G32" s="6" t="s">
        <v>17</v>
      </c>
      <c r="H32" s="6" t="s">
        <v>17</v>
      </c>
      <c r="I32" s="6" t="s">
        <v>103</v>
      </c>
      <c r="J32" s="6" t="s">
        <v>104</v>
      </c>
      <c r="K32" s="7">
        <v>43588</v>
      </c>
      <c r="L32" s="8">
        <v>0.49305555555555558</v>
      </c>
      <c r="M32" s="6" t="s">
        <v>105</v>
      </c>
      <c r="N32" s="6" t="s">
        <v>21</v>
      </c>
      <c r="O32" s="6" t="s">
        <v>22</v>
      </c>
    </row>
    <row r="33" spans="1:15">
      <c r="A33" s="6" t="s">
        <v>15</v>
      </c>
      <c r="B33" s="6" t="str">
        <f>"FES1162687576"</f>
        <v>FES1162687576</v>
      </c>
      <c r="C33" s="7">
        <v>43587</v>
      </c>
      <c r="D33" s="6">
        <v>1</v>
      </c>
      <c r="E33" s="6">
        <v>2170686121</v>
      </c>
      <c r="F33" s="6" t="s">
        <v>16</v>
      </c>
      <c r="G33" s="6" t="s">
        <v>17</v>
      </c>
      <c r="H33" s="6" t="s">
        <v>17</v>
      </c>
      <c r="I33" s="6" t="s">
        <v>103</v>
      </c>
      <c r="J33" s="6" t="s">
        <v>108</v>
      </c>
      <c r="K33" s="7">
        <v>43588</v>
      </c>
      <c r="L33" s="8">
        <v>0.33333333333333331</v>
      </c>
      <c r="M33" s="6" t="s">
        <v>100</v>
      </c>
      <c r="N33" s="6" t="s">
        <v>21</v>
      </c>
      <c r="O33" s="6" t="s">
        <v>22</v>
      </c>
    </row>
    <row r="34" spans="1:15">
      <c r="A34" s="6" t="s">
        <v>15</v>
      </c>
      <c r="B34" s="6" t="str">
        <f>"FES1162687593"</f>
        <v>FES1162687593</v>
      </c>
      <c r="C34" s="7">
        <v>43587</v>
      </c>
      <c r="D34" s="6">
        <v>1</v>
      </c>
      <c r="E34" s="6">
        <v>2170686311</v>
      </c>
      <c r="F34" s="6" t="s">
        <v>16</v>
      </c>
      <c r="G34" s="6" t="s">
        <v>17</v>
      </c>
      <c r="H34" s="6" t="s">
        <v>17</v>
      </c>
      <c r="I34" s="6" t="s">
        <v>23</v>
      </c>
      <c r="J34" s="6" t="s">
        <v>106</v>
      </c>
      <c r="K34" s="7">
        <v>43588</v>
      </c>
      <c r="L34" s="8">
        <v>0.33333333333333331</v>
      </c>
      <c r="M34" s="6" t="s">
        <v>107</v>
      </c>
      <c r="N34" s="6" t="s">
        <v>21</v>
      </c>
      <c r="O34" s="6" t="s">
        <v>22</v>
      </c>
    </row>
    <row r="35" spans="1:15">
      <c r="A35" s="6" t="s">
        <v>15</v>
      </c>
      <c r="B35" s="6" t="str">
        <f>"FES1162687650"</f>
        <v>FES1162687650</v>
      </c>
      <c r="C35" s="7">
        <v>43587</v>
      </c>
      <c r="D35" s="6">
        <v>1</v>
      </c>
      <c r="E35" s="6">
        <v>2170687458</v>
      </c>
      <c r="F35" s="6" t="s">
        <v>16</v>
      </c>
      <c r="G35" s="6" t="s">
        <v>17</v>
      </c>
      <c r="H35" s="6" t="s">
        <v>17</v>
      </c>
      <c r="I35" s="6" t="s">
        <v>29</v>
      </c>
      <c r="J35" s="6" t="s">
        <v>109</v>
      </c>
      <c r="K35" s="7">
        <v>43588</v>
      </c>
      <c r="L35" s="8">
        <v>0.33333333333333331</v>
      </c>
      <c r="M35" s="6" t="s">
        <v>110</v>
      </c>
      <c r="N35" s="6" t="s">
        <v>21</v>
      </c>
      <c r="O35" s="6" t="s">
        <v>22</v>
      </c>
    </row>
    <row r="36" spans="1:15" hidden="1">
      <c r="A36" t="s">
        <v>15</v>
      </c>
      <c r="B36" t="str">
        <f>"FES1162687647"</f>
        <v>FES1162687647</v>
      </c>
      <c r="C36" s="9">
        <v>43587</v>
      </c>
      <c r="D36">
        <v>1</v>
      </c>
      <c r="E36">
        <v>2170684221</v>
      </c>
      <c r="F36" t="s">
        <v>16</v>
      </c>
      <c r="G36" t="s">
        <v>17</v>
      </c>
      <c r="H36" t="s">
        <v>43</v>
      </c>
      <c r="I36" t="s">
        <v>44</v>
      </c>
      <c r="J36" t="s">
        <v>111</v>
      </c>
      <c r="K36" s="9">
        <v>43588</v>
      </c>
      <c r="L36" s="10">
        <v>0.41666666666666669</v>
      </c>
      <c r="M36" t="s">
        <v>112</v>
      </c>
      <c r="N36" t="s">
        <v>113</v>
      </c>
      <c r="O36" t="s">
        <v>22</v>
      </c>
    </row>
    <row r="37" spans="1:15">
      <c r="A37" s="6" t="s">
        <v>15</v>
      </c>
      <c r="B37" s="6" t="str">
        <f>"FES1162687709"</f>
        <v>FES1162687709</v>
      </c>
      <c r="C37" s="7">
        <v>43587</v>
      </c>
      <c r="D37" s="6">
        <v>1</v>
      </c>
      <c r="E37" s="6">
        <v>21706875122</v>
      </c>
      <c r="F37" s="6" t="s">
        <v>16</v>
      </c>
      <c r="G37" s="6" t="s">
        <v>17</v>
      </c>
      <c r="H37" s="6" t="s">
        <v>17</v>
      </c>
      <c r="I37" s="6" t="s">
        <v>18</v>
      </c>
      <c r="J37" s="6" t="s">
        <v>114</v>
      </c>
      <c r="K37" s="7">
        <v>43588</v>
      </c>
      <c r="L37" s="8">
        <v>0.33333333333333331</v>
      </c>
      <c r="M37" s="6" t="s">
        <v>100</v>
      </c>
      <c r="N37" s="6" t="s">
        <v>21</v>
      </c>
      <c r="O37" s="6" t="s">
        <v>22</v>
      </c>
    </row>
    <row r="38" spans="1:15" hidden="1">
      <c r="A38" t="s">
        <v>15</v>
      </c>
      <c r="B38" t="str">
        <f>"FES1162687691"</f>
        <v>FES1162687691</v>
      </c>
      <c r="C38" s="9">
        <v>43587</v>
      </c>
      <c r="D38">
        <v>1</v>
      </c>
      <c r="E38">
        <v>21706985422</v>
      </c>
      <c r="F38" t="s">
        <v>16</v>
      </c>
      <c r="G38" t="s">
        <v>17</v>
      </c>
      <c r="H38" t="s">
        <v>43</v>
      </c>
      <c r="I38" t="s">
        <v>44</v>
      </c>
      <c r="J38" t="s">
        <v>111</v>
      </c>
      <c r="K38" s="9">
        <v>43588</v>
      </c>
      <c r="L38" s="10">
        <v>0.41666666666666669</v>
      </c>
      <c r="M38" t="s">
        <v>112</v>
      </c>
      <c r="N38" t="s">
        <v>115</v>
      </c>
      <c r="O38" t="s">
        <v>22</v>
      </c>
    </row>
    <row r="39" spans="1:15">
      <c r="A39" s="6" t="s">
        <v>15</v>
      </c>
      <c r="B39" s="6" t="str">
        <f>"FES1162687639"</f>
        <v>FES1162687639</v>
      </c>
      <c r="C39" s="7">
        <v>43587</v>
      </c>
      <c r="D39" s="6">
        <v>1</v>
      </c>
      <c r="E39" s="6">
        <v>217068415666</v>
      </c>
      <c r="F39" s="6" t="s">
        <v>16</v>
      </c>
      <c r="G39" s="6" t="s">
        <v>17</v>
      </c>
      <c r="H39" s="6" t="s">
        <v>17</v>
      </c>
      <c r="I39" s="6" t="s">
        <v>64</v>
      </c>
      <c r="J39" s="6" t="s">
        <v>116</v>
      </c>
      <c r="K39" s="7">
        <v>43588</v>
      </c>
      <c r="L39" s="8">
        <v>0.65972222222222221</v>
      </c>
      <c r="M39" s="6" t="s">
        <v>100</v>
      </c>
      <c r="N39" s="6" t="s">
        <v>21</v>
      </c>
      <c r="O39" s="6" t="s">
        <v>22</v>
      </c>
    </row>
    <row r="40" spans="1:15">
      <c r="A40" s="6" t="s">
        <v>15</v>
      </c>
      <c r="B40" s="6" t="str">
        <f>"FES1162687645"</f>
        <v>FES1162687645</v>
      </c>
      <c r="C40" s="7">
        <v>43587</v>
      </c>
      <c r="D40" s="6">
        <v>1</v>
      </c>
      <c r="E40" s="6">
        <v>2170684047</v>
      </c>
      <c r="F40" s="6" t="s">
        <v>16</v>
      </c>
      <c r="G40" s="6" t="s">
        <v>17</v>
      </c>
      <c r="H40" s="6" t="s">
        <v>17</v>
      </c>
      <c r="I40" s="6" t="s">
        <v>67</v>
      </c>
      <c r="J40" s="6" t="s">
        <v>117</v>
      </c>
      <c r="K40" s="7">
        <v>43588</v>
      </c>
      <c r="L40" s="8">
        <v>0.40416666666666662</v>
      </c>
      <c r="M40" s="6" t="s">
        <v>118</v>
      </c>
      <c r="N40" s="6" t="s">
        <v>21</v>
      </c>
      <c r="O40" s="6" t="s">
        <v>22</v>
      </c>
    </row>
    <row r="41" spans="1:15">
      <c r="A41" s="6" t="s">
        <v>15</v>
      </c>
      <c r="B41" s="6" t="str">
        <f>"FES1162687573"</f>
        <v>FES1162687573</v>
      </c>
      <c r="C41" s="7">
        <v>43587</v>
      </c>
      <c r="D41" s="6">
        <v>1</v>
      </c>
      <c r="E41" s="6">
        <v>2170686087</v>
      </c>
      <c r="F41" s="6" t="s">
        <v>16</v>
      </c>
      <c r="G41" s="6" t="s">
        <v>17</v>
      </c>
      <c r="H41" s="6" t="s">
        <v>17</v>
      </c>
      <c r="I41" s="6" t="s">
        <v>23</v>
      </c>
      <c r="J41" s="6" t="s">
        <v>119</v>
      </c>
      <c r="K41" s="7">
        <v>43592</v>
      </c>
      <c r="L41" s="8">
        <v>0.31805555555555554</v>
      </c>
      <c r="M41" s="6" t="s">
        <v>120</v>
      </c>
      <c r="N41" s="6" t="s">
        <v>21</v>
      </c>
      <c r="O41" s="6" t="s">
        <v>22</v>
      </c>
    </row>
    <row r="42" spans="1:15" hidden="1">
      <c r="A42" t="s">
        <v>15</v>
      </c>
      <c r="B42" t="str">
        <f>"FES1162687621"</f>
        <v>FES1162687621</v>
      </c>
      <c r="C42" s="9">
        <v>43587</v>
      </c>
      <c r="D42">
        <v>1</v>
      </c>
      <c r="E42">
        <v>2170686517</v>
      </c>
      <c r="F42" t="s">
        <v>16</v>
      </c>
      <c r="G42" t="s">
        <v>17</v>
      </c>
      <c r="H42" t="s">
        <v>121</v>
      </c>
      <c r="I42" t="s">
        <v>122</v>
      </c>
      <c r="J42" t="s">
        <v>123</v>
      </c>
      <c r="K42" s="9">
        <v>43588</v>
      </c>
      <c r="L42" s="10">
        <v>0.39583333333333331</v>
      </c>
      <c r="M42" t="s">
        <v>124</v>
      </c>
      <c r="N42" t="s">
        <v>125</v>
      </c>
      <c r="O42" t="s">
        <v>22</v>
      </c>
    </row>
    <row r="43" spans="1:15" hidden="1">
      <c r="A43" t="s">
        <v>15</v>
      </c>
      <c r="B43" t="str">
        <f>"FES1162687577"</f>
        <v>FES1162687577</v>
      </c>
      <c r="C43" s="9">
        <v>43587</v>
      </c>
      <c r="D43">
        <v>1</v>
      </c>
      <c r="E43">
        <v>2170686127</v>
      </c>
      <c r="F43" t="s">
        <v>16</v>
      </c>
      <c r="G43" t="s">
        <v>17</v>
      </c>
      <c r="H43" t="s">
        <v>32</v>
      </c>
      <c r="I43" t="s">
        <v>33</v>
      </c>
      <c r="J43" t="s">
        <v>19</v>
      </c>
      <c r="K43" s="9">
        <v>43588</v>
      </c>
      <c r="L43" s="10">
        <v>0.37847222222222227</v>
      </c>
      <c r="M43" t="s">
        <v>126</v>
      </c>
      <c r="N43" t="s">
        <v>127</v>
      </c>
      <c r="O43" t="s">
        <v>22</v>
      </c>
    </row>
    <row r="44" spans="1:15" hidden="1">
      <c r="A44" t="s">
        <v>15</v>
      </c>
      <c r="B44" t="str">
        <f>"FES1162687472"</f>
        <v>FES1162687472</v>
      </c>
      <c r="C44" s="9">
        <v>43587</v>
      </c>
      <c r="D44">
        <v>1</v>
      </c>
      <c r="E44">
        <v>2170686501</v>
      </c>
      <c r="F44" t="s">
        <v>16</v>
      </c>
      <c r="G44" t="s">
        <v>17</v>
      </c>
      <c r="H44" t="s">
        <v>43</v>
      </c>
      <c r="I44" t="s">
        <v>44</v>
      </c>
      <c r="J44" t="s">
        <v>128</v>
      </c>
      <c r="K44" s="9">
        <v>43588</v>
      </c>
      <c r="L44" s="10">
        <v>0.37083333333333335</v>
      </c>
      <c r="M44" t="s">
        <v>56</v>
      </c>
      <c r="N44" t="s">
        <v>129</v>
      </c>
      <c r="O44" t="s">
        <v>22</v>
      </c>
    </row>
    <row r="45" spans="1:15" hidden="1">
      <c r="A45" t="s">
        <v>15</v>
      </c>
      <c r="B45" t="str">
        <f>"FES1162687521"</f>
        <v>FES1162687521</v>
      </c>
      <c r="C45" s="9">
        <v>43587</v>
      </c>
      <c r="D45">
        <v>1</v>
      </c>
      <c r="E45">
        <v>2170684332</v>
      </c>
      <c r="F45" t="s">
        <v>16</v>
      </c>
      <c r="G45" t="s">
        <v>17</v>
      </c>
      <c r="H45" t="s">
        <v>43</v>
      </c>
      <c r="I45" t="s">
        <v>60</v>
      </c>
      <c r="J45" t="s">
        <v>61</v>
      </c>
      <c r="K45" s="9">
        <v>43591</v>
      </c>
      <c r="L45" s="10">
        <v>0.55069444444444449</v>
      </c>
      <c r="M45" t="s">
        <v>79</v>
      </c>
      <c r="N45" t="s">
        <v>130</v>
      </c>
      <c r="O45" t="s">
        <v>22</v>
      </c>
    </row>
    <row r="46" spans="1:15" hidden="1">
      <c r="A46" t="s">
        <v>15</v>
      </c>
      <c r="B46" t="str">
        <f>"FES1162687565"</f>
        <v>FES1162687565</v>
      </c>
      <c r="C46" s="9">
        <v>43587</v>
      </c>
      <c r="D46">
        <v>1</v>
      </c>
      <c r="E46">
        <v>2170685910</v>
      </c>
      <c r="F46" t="s">
        <v>16</v>
      </c>
      <c r="G46" t="s">
        <v>17</v>
      </c>
      <c r="H46" t="s">
        <v>43</v>
      </c>
      <c r="I46" t="s">
        <v>44</v>
      </c>
      <c r="J46" t="s">
        <v>51</v>
      </c>
      <c r="K46" s="9">
        <v>43588</v>
      </c>
      <c r="L46" s="10">
        <v>0.36249999999999999</v>
      </c>
      <c r="M46" t="s">
        <v>52</v>
      </c>
      <c r="N46" t="s">
        <v>131</v>
      </c>
      <c r="O46" t="s">
        <v>22</v>
      </c>
    </row>
    <row r="47" spans="1:15" hidden="1">
      <c r="A47" t="s">
        <v>15</v>
      </c>
      <c r="B47" t="str">
        <f>"FES1162687644"</f>
        <v>FES1162687644</v>
      </c>
      <c r="C47" s="9">
        <v>43587</v>
      </c>
      <c r="D47">
        <v>1</v>
      </c>
      <c r="E47">
        <v>2170684020</v>
      </c>
      <c r="F47" t="s">
        <v>16</v>
      </c>
      <c r="G47" t="s">
        <v>17</v>
      </c>
      <c r="H47" t="s">
        <v>132</v>
      </c>
      <c r="I47" t="s">
        <v>133</v>
      </c>
      <c r="J47" t="s">
        <v>134</v>
      </c>
      <c r="K47" s="9">
        <v>43588</v>
      </c>
      <c r="L47" s="10">
        <v>0.40486111111111112</v>
      </c>
      <c r="M47" t="s">
        <v>135</v>
      </c>
      <c r="N47" t="s">
        <v>136</v>
      </c>
      <c r="O47" t="s">
        <v>22</v>
      </c>
    </row>
    <row r="48" spans="1:15" hidden="1">
      <c r="A48" t="s">
        <v>15</v>
      </c>
      <c r="B48" t="str">
        <f>"FES1162687603"</f>
        <v>FES1162687603</v>
      </c>
      <c r="C48" s="9">
        <v>43587</v>
      </c>
      <c r="D48">
        <v>1</v>
      </c>
      <c r="E48">
        <v>2170686385</v>
      </c>
      <c r="F48" t="s">
        <v>16</v>
      </c>
      <c r="G48" t="s">
        <v>17</v>
      </c>
      <c r="H48" t="s">
        <v>132</v>
      </c>
      <c r="I48" t="s">
        <v>137</v>
      </c>
      <c r="J48" t="s">
        <v>138</v>
      </c>
      <c r="K48" s="9">
        <v>43588</v>
      </c>
      <c r="L48" s="10">
        <v>0.4993055555555555</v>
      </c>
      <c r="M48" t="s">
        <v>139</v>
      </c>
      <c r="N48" t="s">
        <v>140</v>
      </c>
      <c r="O48" t="s">
        <v>22</v>
      </c>
    </row>
    <row r="49" spans="1:15" hidden="1">
      <c r="A49" t="s">
        <v>15</v>
      </c>
      <c r="B49" t="str">
        <f>"FES1162687669"</f>
        <v>FES1162687669</v>
      </c>
      <c r="C49" s="9">
        <v>43587</v>
      </c>
      <c r="D49">
        <v>1</v>
      </c>
      <c r="E49">
        <v>2170685370</v>
      </c>
      <c r="F49" t="s">
        <v>16</v>
      </c>
      <c r="G49" t="s">
        <v>17</v>
      </c>
      <c r="H49" t="s">
        <v>141</v>
      </c>
      <c r="I49" t="s">
        <v>142</v>
      </c>
      <c r="J49" t="s">
        <v>143</v>
      </c>
      <c r="K49" s="9">
        <v>43588</v>
      </c>
      <c r="L49" s="10">
        <v>0.39027777777777778</v>
      </c>
      <c r="M49" t="s">
        <v>144</v>
      </c>
      <c r="N49" t="s">
        <v>145</v>
      </c>
      <c r="O49" t="s">
        <v>22</v>
      </c>
    </row>
    <row r="50" spans="1:15" hidden="1">
      <c r="A50" s="6" t="s">
        <v>15</v>
      </c>
      <c r="B50" s="6" t="str">
        <f>"FES1162687659"</f>
        <v>FES1162687659</v>
      </c>
      <c r="C50" s="7">
        <v>43587</v>
      </c>
      <c r="D50" s="6">
        <v>1</v>
      </c>
      <c r="E50" s="6">
        <v>2170684456</v>
      </c>
      <c r="F50" s="6" t="s">
        <v>16</v>
      </c>
      <c r="G50" s="6" t="s">
        <v>17</v>
      </c>
      <c r="H50" s="6" t="s">
        <v>59</v>
      </c>
      <c r="I50" s="6" t="s">
        <v>23</v>
      </c>
      <c r="J50" s="6" t="s">
        <v>146</v>
      </c>
      <c r="K50" s="7">
        <v>43592</v>
      </c>
      <c r="L50" s="8">
        <v>0.40625</v>
      </c>
      <c r="M50" s="6" t="s">
        <v>147</v>
      </c>
      <c r="N50" s="6" t="s">
        <v>21</v>
      </c>
      <c r="O50" s="6" t="s">
        <v>22</v>
      </c>
    </row>
    <row r="51" spans="1:15">
      <c r="A51" s="6" t="s">
        <v>15</v>
      </c>
      <c r="B51" s="6" t="str">
        <f>"FES1162687635"</f>
        <v>FES1162687635</v>
      </c>
      <c r="C51" s="7">
        <v>43587</v>
      </c>
      <c r="D51" s="6">
        <v>1</v>
      </c>
      <c r="E51" s="6">
        <v>2170686541</v>
      </c>
      <c r="F51" s="6" t="s">
        <v>16</v>
      </c>
      <c r="G51" s="6" t="s">
        <v>17</v>
      </c>
      <c r="H51" s="6" t="s">
        <v>17</v>
      </c>
      <c r="I51" s="6" t="s">
        <v>148</v>
      </c>
      <c r="J51" s="6" t="s">
        <v>149</v>
      </c>
      <c r="K51" s="7">
        <v>43588</v>
      </c>
      <c r="L51" s="8">
        <v>0.49791666666666662</v>
      </c>
      <c r="M51" s="6" t="s">
        <v>150</v>
      </c>
      <c r="N51" s="6" t="s">
        <v>21</v>
      </c>
      <c r="O51" s="6" t="s">
        <v>22</v>
      </c>
    </row>
    <row r="52" spans="1:15">
      <c r="A52" s="6" t="s">
        <v>15</v>
      </c>
      <c r="B52" s="6" t="str">
        <f>"FES1162687719"</f>
        <v>FES1162687719</v>
      </c>
      <c r="C52" s="7">
        <v>43587</v>
      </c>
      <c r="D52" s="6">
        <v>1</v>
      </c>
      <c r="E52" s="6">
        <v>2170686557</v>
      </c>
      <c r="F52" s="6" t="s">
        <v>16</v>
      </c>
      <c r="G52" s="6" t="s">
        <v>17</v>
      </c>
      <c r="H52" s="6" t="s">
        <v>17</v>
      </c>
      <c r="I52" s="6" t="s">
        <v>67</v>
      </c>
      <c r="J52" s="6" t="s">
        <v>151</v>
      </c>
      <c r="K52" s="7">
        <v>43588</v>
      </c>
      <c r="L52" s="8">
        <v>0.5</v>
      </c>
      <c r="M52" s="6" t="s">
        <v>152</v>
      </c>
      <c r="N52" s="6" t="s">
        <v>21</v>
      </c>
      <c r="O52" s="6" t="s">
        <v>22</v>
      </c>
    </row>
    <row r="53" spans="1:15">
      <c r="A53" s="6" t="s">
        <v>15</v>
      </c>
      <c r="B53" s="6" t="str">
        <f>"FES1162687704"</f>
        <v>FES1162687704</v>
      </c>
      <c r="C53" s="7">
        <v>43587</v>
      </c>
      <c r="D53" s="6">
        <v>1</v>
      </c>
      <c r="E53" s="6">
        <v>2170684431</v>
      </c>
      <c r="F53" s="6" t="s">
        <v>16</v>
      </c>
      <c r="G53" s="6" t="s">
        <v>17</v>
      </c>
      <c r="H53" s="6" t="s">
        <v>17</v>
      </c>
      <c r="I53" s="6" t="s">
        <v>148</v>
      </c>
      <c r="J53" s="6" t="s">
        <v>153</v>
      </c>
      <c r="K53" s="7">
        <v>43588</v>
      </c>
      <c r="L53" s="8">
        <v>0.4375</v>
      </c>
      <c r="M53" s="6" t="s">
        <v>154</v>
      </c>
      <c r="N53" s="6" t="s">
        <v>21</v>
      </c>
      <c r="O53" s="6" t="s">
        <v>22</v>
      </c>
    </row>
    <row r="54" spans="1:15">
      <c r="A54" s="6" t="s">
        <v>15</v>
      </c>
      <c r="B54" s="6" t="str">
        <f>"FES1162687758"</f>
        <v>FES1162687758</v>
      </c>
      <c r="C54" s="7">
        <v>43587</v>
      </c>
      <c r="D54" s="6">
        <v>1</v>
      </c>
      <c r="E54" s="6">
        <v>2170686609</v>
      </c>
      <c r="F54" s="6" t="s">
        <v>16</v>
      </c>
      <c r="G54" s="6" t="s">
        <v>17</v>
      </c>
      <c r="H54" s="6" t="s">
        <v>17</v>
      </c>
      <c r="I54" s="6" t="s">
        <v>64</v>
      </c>
      <c r="J54" s="6" t="s">
        <v>155</v>
      </c>
      <c r="K54" s="7">
        <v>43588</v>
      </c>
      <c r="L54" s="8">
        <v>0.33333333333333331</v>
      </c>
      <c r="M54" s="6" t="s">
        <v>100</v>
      </c>
      <c r="N54" s="6" t="s">
        <v>21</v>
      </c>
      <c r="O54" s="6" t="s">
        <v>22</v>
      </c>
    </row>
    <row r="55" spans="1:15">
      <c r="A55" s="6" t="s">
        <v>15</v>
      </c>
      <c r="B55" s="6" t="str">
        <f>"FES1162687518"</f>
        <v>FES1162687518</v>
      </c>
      <c r="C55" s="7">
        <v>43587</v>
      </c>
      <c r="D55" s="6">
        <v>1</v>
      </c>
      <c r="E55" s="6">
        <v>2170684181</v>
      </c>
      <c r="F55" s="6" t="s">
        <v>16</v>
      </c>
      <c r="G55" s="6" t="s">
        <v>17</v>
      </c>
      <c r="H55" s="6" t="s">
        <v>17</v>
      </c>
      <c r="I55" s="6" t="s">
        <v>81</v>
      </c>
      <c r="J55" s="6" t="s">
        <v>156</v>
      </c>
      <c r="K55" s="7">
        <v>43591</v>
      </c>
      <c r="L55" s="8">
        <v>0.4548611111111111</v>
      </c>
      <c r="M55" s="6" t="s">
        <v>157</v>
      </c>
      <c r="N55" s="6" t="s">
        <v>21</v>
      </c>
      <c r="O55" s="6" t="s">
        <v>22</v>
      </c>
    </row>
    <row r="56" spans="1:15">
      <c r="A56" s="6" t="s">
        <v>15</v>
      </c>
      <c r="B56" s="6" t="str">
        <f>"FES1162687727"</f>
        <v>FES1162687727</v>
      </c>
      <c r="C56" s="7">
        <v>43587</v>
      </c>
      <c r="D56" s="6">
        <v>1</v>
      </c>
      <c r="E56" s="6">
        <v>2170686572</v>
      </c>
      <c r="F56" s="6" t="s">
        <v>16</v>
      </c>
      <c r="G56" s="6" t="s">
        <v>17</v>
      </c>
      <c r="H56" s="6" t="s">
        <v>17</v>
      </c>
      <c r="I56" s="6" t="s">
        <v>23</v>
      </c>
      <c r="J56" s="6" t="s">
        <v>158</v>
      </c>
      <c r="K56" s="7">
        <v>43588</v>
      </c>
      <c r="L56" s="8">
        <v>0.41319444444444442</v>
      </c>
      <c r="M56" s="6" t="s">
        <v>159</v>
      </c>
      <c r="N56" s="6" t="s">
        <v>21</v>
      </c>
      <c r="O56" s="6" t="s">
        <v>22</v>
      </c>
    </row>
    <row r="57" spans="1:15">
      <c r="A57" s="6" t="s">
        <v>15</v>
      </c>
      <c r="B57" s="6" t="str">
        <f>"FES1162687759"</f>
        <v>FES1162687759</v>
      </c>
      <c r="C57" s="7">
        <v>43587</v>
      </c>
      <c r="D57" s="6">
        <v>1</v>
      </c>
      <c r="E57" s="6">
        <v>2170686610</v>
      </c>
      <c r="F57" s="6" t="s">
        <v>16</v>
      </c>
      <c r="G57" s="6" t="s">
        <v>17</v>
      </c>
      <c r="H57" s="6" t="s">
        <v>17</v>
      </c>
      <c r="I57" s="6" t="s">
        <v>18</v>
      </c>
      <c r="J57" s="6" t="s">
        <v>160</v>
      </c>
      <c r="K57" s="7">
        <v>43588</v>
      </c>
      <c r="L57" s="8">
        <v>0.33333333333333331</v>
      </c>
      <c r="M57" s="6" t="s">
        <v>161</v>
      </c>
      <c r="N57" s="6" t="s">
        <v>21</v>
      </c>
      <c r="O57" s="6" t="s">
        <v>22</v>
      </c>
    </row>
    <row r="58" spans="1:15">
      <c r="A58" s="6" t="s">
        <v>15</v>
      </c>
      <c r="B58" s="6" t="str">
        <f>"FES1162687627"</f>
        <v>FES1162687627</v>
      </c>
      <c r="C58" s="7">
        <v>43587</v>
      </c>
      <c r="D58" s="6">
        <v>1</v>
      </c>
      <c r="E58" s="6">
        <v>2170686529</v>
      </c>
      <c r="F58" s="6" t="s">
        <v>16</v>
      </c>
      <c r="G58" s="6" t="s">
        <v>17</v>
      </c>
      <c r="H58" s="6" t="s">
        <v>17</v>
      </c>
      <c r="I58" s="6" t="s">
        <v>148</v>
      </c>
      <c r="J58" s="6" t="s">
        <v>162</v>
      </c>
      <c r="K58" s="7">
        <v>43591</v>
      </c>
      <c r="L58" s="8">
        <v>0.42430555555555555</v>
      </c>
      <c r="M58" s="6" t="s">
        <v>163</v>
      </c>
      <c r="N58" s="6" t="s">
        <v>21</v>
      </c>
      <c r="O58" s="6" t="s">
        <v>22</v>
      </c>
    </row>
    <row r="59" spans="1:15">
      <c r="A59" s="6" t="s">
        <v>15</v>
      </c>
      <c r="B59" s="6" t="str">
        <f>"FES1162687705"</f>
        <v>FES1162687705</v>
      </c>
      <c r="C59" s="7">
        <v>43587</v>
      </c>
      <c r="D59" s="6">
        <v>1</v>
      </c>
      <c r="E59" s="6">
        <v>2170684450</v>
      </c>
      <c r="F59" s="6" t="s">
        <v>16</v>
      </c>
      <c r="G59" s="6" t="s">
        <v>17</v>
      </c>
      <c r="H59" s="6" t="s">
        <v>17</v>
      </c>
      <c r="I59" s="6" t="s">
        <v>148</v>
      </c>
      <c r="J59" s="6" t="s">
        <v>164</v>
      </c>
      <c r="K59" s="7">
        <v>43588</v>
      </c>
      <c r="L59" s="8">
        <v>0.5</v>
      </c>
      <c r="M59" s="6" t="s">
        <v>165</v>
      </c>
      <c r="N59" s="6" t="s">
        <v>21</v>
      </c>
      <c r="O59" s="6" t="s">
        <v>22</v>
      </c>
    </row>
    <row r="60" spans="1:15">
      <c r="A60" s="6" t="s">
        <v>15</v>
      </c>
      <c r="B60" s="6" t="str">
        <f>"FES1162687524"</f>
        <v>FES1162687524</v>
      </c>
      <c r="C60" s="7">
        <v>43587</v>
      </c>
      <c r="D60" s="6">
        <v>1</v>
      </c>
      <c r="E60" s="6">
        <v>2170684385</v>
      </c>
      <c r="F60" s="6" t="s">
        <v>16</v>
      </c>
      <c r="G60" s="6" t="s">
        <v>17</v>
      </c>
      <c r="H60" s="6" t="s">
        <v>17</v>
      </c>
      <c r="I60" s="6" t="s">
        <v>148</v>
      </c>
      <c r="J60" s="6" t="s">
        <v>153</v>
      </c>
      <c r="K60" s="7">
        <v>43588</v>
      </c>
      <c r="L60" s="8">
        <v>0.4375</v>
      </c>
      <c r="M60" s="6" t="s">
        <v>166</v>
      </c>
      <c r="N60" s="6" t="s">
        <v>21</v>
      </c>
      <c r="O60" s="6" t="s">
        <v>22</v>
      </c>
    </row>
    <row r="61" spans="1:15" hidden="1">
      <c r="A61" t="s">
        <v>15</v>
      </c>
      <c r="B61" t="str">
        <f>"FES1162687739"</f>
        <v>FES1162687739</v>
      </c>
      <c r="C61" s="9">
        <v>43587</v>
      </c>
      <c r="D61">
        <v>1</v>
      </c>
      <c r="E61">
        <v>2170686589</v>
      </c>
      <c r="F61" t="s">
        <v>16</v>
      </c>
      <c r="G61" t="s">
        <v>17</v>
      </c>
      <c r="H61" t="s">
        <v>59</v>
      </c>
      <c r="I61" t="s">
        <v>18</v>
      </c>
      <c r="J61" t="s">
        <v>19</v>
      </c>
      <c r="K61" s="9">
        <v>43591</v>
      </c>
      <c r="L61" s="10">
        <v>0.39583333333333331</v>
      </c>
      <c r="M61" t="s">
        <v>167</v>
      </c>
      <c r="N61" t="s">
        <v>168</v>
      </c>
      <c r="O61" t="s">
        <v>22</v>
      </c>
    </row>
    <row r="62" spans="1:15" hidden="1">
      <c r="A62" t="s">
        <v>15</v>
      </c>
      <c r="B62" t="str">
        <f>"FES1162687484"</f>
        <v>FES1162687484</v>
      </c>
      <c r="C62" s="9">
        <v>43587</v>
      </c>
      <c r="D62">
        <v>1</v>
      </c>
      <c r="E62">
        <v>21706876769</v>
      </c>
      <c r="F62" t="s">
        <v>16</v>
      </c>
      <c r="G62" t="s">
        <v>17</v>
      </c>
      <c r="H62" t="s">
        <v>32</v>
      </c>
      <c r="I62" t="s">
        <v>33</v>
      </c>
      <c r="J62" t="s">
        <v>34</v>
      </c>
      <c r="K62" s="9">
        <v>43588</v>
      </c>
      <c r="L62" s="10">
        <v>0.36319444444444443</v>
      </c>
      <c r="M62" t="s">
        <v>35</v>
      </c>
      <c r="N62" t="s">
        <v>169</v>
      </c>
      <c r="O62" t="s">
        <v>22</v>
      </c>
    </row>
    <row r="63" spans="1:15" hidden="1">
      <c r="A63" t="s">
        <v>15</v>
      </c>
      <c r="B63" t="str">
        <f>"FES1162687652"</f>
        <v>FES1162687652</v>
      </c>
      <c r="C63" s="9">
        <v>43587</v>
      </c>
      <c r="D63">
        <v>1</v>
      </c>
      <c r="E63">
        <v>2170684280</v>
      </c>
      <c r="F63" t="s">
        <v>16</v>
      </c>
      <c r="G63" t="s">
        <v>17</v>
      </c>
      <c r="H63" t="s">
        <v>43</v>
      </c>
      <c r="I63" t="s">
        <v>60</v>
      </c>
      <c r="J63" t="s">
        <v>61</v>
      </c>
      <c r="K63" s="9">
        <v>43591</v>
      </c>
      <c r="L63" s="10">
        <v>0.54999999999999993</v>
      </c>
      <c r="M63" t="s">
        <v>79</v>
      </c>
      <c r="N63" t="s">
        <v>170</v>
      </c>
      <c r="O63" t="s">
        <v>22</v>
      </c>
    </row>
    <row r="64" spans="1:15">
      <c r="A64" s="6" t="s">
        <v>15</v>
      </c>
      <c r="B64" s="6" t="str">
        <f>"FES1162687544"</f>
        <v>FES1162687544</v>
      </c>
      <c r="C64" s="7">
        <v>43587</v>
      </c>
      <c r="D64" s="6">
        <v>1</v>
      </c>
      <c r="E64" s="6">
        <v>2170685052</v>
      </c>
      <c r="F64" s="6" t="s">
        <v>16</v>
      </c>
      <c r="G64" s="6" t="s">
        <v>17</v>
      </c>
      <c r="H64" s="6" t="s">
        <v>17</v>
      </c>
      <c r="I64" s="6" t="s">
        <v>23</v>
      </c>
      <c r="J64" s="6" t="s">
        <v>171</v>
      </c>
      <c r="K64" s="7">
        <v>43592</v>
      </c>
      <c r="L64" s="8">
        <v>0.40138888888888885</v>
      </c>
      <c r="M64" s="6" t="s">
        <v>172</v>
      </c>
      <c r="N64" s="6" t="s">
        <v>21</v>
      </c>
      <c r="O64" s="6" t="s">
        <v>22</v>
      </c>
    </row>
    <row r="65" spans="1:15" hidden="1">
      <c r="A65" t="s">
        <v>15</v>
      </c>
      <c r="B65" t="str">
        <f>"FES1162687459"</f>
        <v>FES1162687459</v>
      </c>
      <c r="C65" s="9">
        <v>43587</v>
      </c>
      <c r="D65">
        <v>1</v>
      </c>
      <c r="E65">
        <v>2170686475</v>
      </c>
      <c r="F65" t="s">
        <v>16</v>
      </c>
      <c r="G65" t="s">
        <v>17</v>
      </c>
      <c r="H65" t="s">
        <v>43</v>
      </c>
      <c r="I65" t="s">
        <v>44</v>
      </c>
      <c r="J65" t="s">
        <v>173</v>
      </c>
      <c r="K65" s="9">
        <v>43588</v>
      </c>
      <c r="L65" s="10">
        <v>0.35833333333333334</v>
      </c>
      <c r="M65" t="s">
        <v>174</v>
      </c>
      <c r="N65" t="s">
        <v>175</v>
      </c>
      <c r="O65" t="s">
        <v>22</v>
      </c>
    </row>
    <row r="66" spans="1:15" hidden="1">
      <c r="A66" t="s">
        <v>15</v>
      </c>
      <c r="B66" t="str">
        <f>"FES1162687529"</f>
        <v>FES1162687529</v>
      </c>
      <c r="C66" s="9">
        <v>43587</v>
      </c>
      <c r="D66">
        <v>1</v>
      </c>
      <c r="E66">
        <v>2170684677</v>
      </c>
      <c r="F66" t="s">
        <v>16</v>
      </c>
      <c r="G66" t="s">
        <v>17</v>
      </c>
      <c r="H66" t="s">
        <v>43</v>
      </c>
      <c r="I66" t="s">
        <v>44</v>
      </c>
      <c r="J66" t="s">
        <v>176</v>
      </c>
      <c r="K66" s="9">
        <v>43588</v>
      </c>
      <c r="L66" s="10">
        <v>0.34513888888888888</v>
      </c>
      <c r="M66" t="s">
        <v>177</v>
      </c>
      <c r="N66" t="s">
        <v>178</v>
      </c>
      <c r="O66" t="s">
        <v>22</v>
      </c>
    </row>
    <row r="67" spans="1:15" hidden="1">
      <c r="A67" t="s">
        <v>15</v>
      </c>
      <c r="B67" t="str">
        <f>"FES1162687474"</f>
        <v>FES1162687474</v>
      </c>
      <c r="C67" s="9">
        <v>43587</v>
      </c>
      <c r="D67">
        <v>1</v>
      </c>
      <c r="E67">
        <v>2170686503</v>
      </c>
      <c r="F67" t="s">
        <v>16</v>
      </c>
      <c r="G67" t="s">
        <v>17</v>
      </c>
      <c r="H67" t="s">
        <v>43</v>
      </c>
      <c r="I67" t="s">
        <v>44</v>
      </c>
      <c r="J67" t="s">
        <v>179</v>
      </c>
      <c r="K67" s="9">
        <v>43588</v>
      </c>
      <c r="L67" s="10">
        <v>0.41666666666666669</v>
      </c>
      <c r="M67" t="s">
        <v>180</v>
      </c>
      <c r="N67" t="s">
        <v>181</v>
      </c>
      <c r="O67" t="s">
        <v>22</v>
      </c>
    </row>
    <row r="68" spans="1:15" hidden="1">
      <c r="A68" t="s">
        <v>15</v>
      </c>
      <c r="B68" t="str">
        <f>"FES1162687687"</f>
        <v>FES1162687687</v>
      </c>
      <c r="C68" s="9">
        <v>43587</v>
      </c>
      <c r="D68">
        <v>1</v>
      </c>
      <c r="E68">
        <v>2170684176</v>
      </c>
      <c r="F68" t="s">
        <v>16</v>
      </c>
      <c r="G68" t="s">
        <v>17</v>
      </c>
      <c r="H68" t="s">
        <v>132</v>
      </c>
      <c r="I68" t="s">
        <v>133</v>
      </c>
      <c r="J68" t="s">
        <v>182</v>
      </c>
      <c r="K68" s="9">
        <v>43588</v>
      </c>
      <c r="L68" s="10">
        <v>0.3756944444444445</v>
      </c>
      <c r="M68" t="s">
        <v>183</v>
      </c>
      <c r="N68" t="s">
        <v>184</v>
      </c>
      <c r="O68" t="s">
        <v>22</v>
      </c>
    </row>
    <row r="69" spans="1:15" hidden="1">
      <c r="A69" t="s">
        <v>15</v>
      </c>
      <c r="B69" t="str">
        <f>"FES1162687679"</f>
        <v>FES1162687679</v>
      </c>
      <c r="C69" s="9">
        <v>43587</v>
      </c>
      <c r="D69">
        <v>1</v>
      </c>
      <c r="E69">
        <v>217068457</v>
      </c>
      <c r="F69" t="s">
        <v>16</v>
      </c>
      <c r="G69" t="s">
        <v>17</v>
      </c>
      <c r="H69" t="s">
        <v>141</v>
      </c>
      <c r="I69" t="s">
        <v>185</v>
      </c>
      <c r="J69" t="s">
        <v>186</v>
      </c>
      <c r="K69" s="9">
        <v>43588</v>
      </c>
      <c r="L69" s="10">
        <v>0.41805555555555557</v>
      </c>
      <c r="M69" t="s">
        <v>187</v>
      </c>
      <c r="N69" t="s">
        <v>188</v>
      </c>
      <c r="O69" t="s">
        <v>22</v>
      </c>
    </row>
    <row r="70" spans="1:15" hidden="1">
      <c r="A70" t="s">
        <v>15</v>
      </c>
      <c r="B70" t="str">
        <f>"FES1162687664"</f>
        <v>FES1162687664</v>
      </c>
      <c r="C70" s="9">
        <v>43587</v>
      </c>
      <c r="D70">
        <v>1</v>
      </c>
      <c r="E70">
        <v>2170684738</v>
      </c>
      <c r="F70" t="s">
        <v>16</v>
      </c>
      <c r="G70" t="s">
        <v>17</v>
      </c>
      <c r="H70" t="s">
        <v>132</v>
      </c>
      <c r="I70" t="s">
        <v>133</v>
      </c>
      <c r="J70" t="s">
        <v>189</v>
      </c>
      <c r="K70" s="9">
        <v>43588</v>
      </c>
      <c r="L70" s="10">
        <v>0.43541666666666662</v>
      </c>
      <c r="M70" t="s">
        <v>190</v>
      </c>
      <c r="N70" t="s">
        <v>191</v>
      </c>
      <c r="O70" t="s">
        <v>22</v>
      </c>
    </row>
    <row r="71" spans="1:15" hidden="1">
      <c r="A71" t="s">
        <v>15</v>
      </c>
      <c r="B71" t="str">
        <f>"FES1162687543"</f>
        <v>FES1162687543</v>
      </c>
      <c r="C71" s="9">
        <v>43587</v>
      </c>
      <c r="D71">
        <v>1</v>
      </c>
      <c r="E71">
        <v>2170685047</v>
      </c>
      <c r="F71" t="s">
        <v>16</v>
      </c>
      <c r="G71" t="s">
        <v>17</v>
      </c>
      <c r="H71" t="s">
        <v>141</v>
      </c>
      <c r="I71" t="s">
        <v>185</v>
      </c>
      <c r="J71" t="s">
        <v>192</v>
      </c>
      <c r="K71" s="9">
        <v>43588</v>
      </c>
      <c r="L71" s="10">
        <v>0.33333333333333331</v>
      </c>
      <c r="M71" t="s">
        <v>193</v>
      </c>
      <c r="N71" t="s">
        <v>194</v>
      </c>
      <c r="O71" t="s">
        <v>22</v>
      </c>
    </row>
    <row r="72" spans="1:15" hidden="1">
      <c r="A72" t="s">
        <v>15</v>
      </c>
      <c r="B72" t="str">
        <f>"FES1162687508"</f>
        <v>FES1162687508</v>
      </c>
      <c r="C72" s="9">
        <v>43587</v>
      </c>
      <c r="D72">
        <v>1</v>
      </c>
      <c r="E72">
        <v>2170682567</v>
      </c>
      <c r="F72" t="s">
        <v>16</v>
      </c>
      <c r="G72" t="s">
        <v>17</v>
      </c>
      <c r="H72" t="s">
        <v>141</v>
      </c>
      <c r="I72" t="s">
        <v>142</v>
      </c>
      <c r="J72" t="s">
        <v>195</v>
      </c>
      <c r="K72" s="9">
        <v>43588</v>
      </c>
      <c r="L72" s="10">
        <v>0.37847222222222227</v>
      </c>
      <c r="M72" t="s">
        <v>196</v>
      </c>
      <c r="N72" t="s">
        <v>197</v>
      </c>
      <c r="O72" t="s">
        <v>22</v>
      </c>
    </row>
    <row r="73" spans="1:15" hidden="1">
      <c r="A73" t="s">
        <v>15</v>
      </c>
      <c r="B73" t="str">
        <f>"FES1162687604"</f>
        <v>FES1162687604</v>
      </c>
      <c r="C73" s="9">
        <v>43587</v>
      </c>
      <c r="D73">
        <v>1</v>
      </c>
      <c r="E73">
        <v>2170686389</v>
      </c>
      <c r="F73" t="s">
        <v>16</v>
      </c>
      <c r="G73" t="s">
        <v>17</v>
      </c>
      <c r="H73" t="s">
        <v>43</v>
      </c>
      <c r="I73" t="s">
        <v>60</v>
      </c>
      <c r="J73" t="s">
        <v>198</v>
      </c>
      <c r="K73" s="9">
        <v>43591</v>
      </c>
      <c r="L73" s="10">
        <v>0.54791666666666672</v>
      </c>
      <c r="M73" t="s">
        <v>199</v>
      </c>
      <c r="N73" t="s">
        <v>200</v>
      </c>
      <c r="O73" t="s">
        <v>22</v>
      </c>
    </row>
    <row r="74" spans="1:15" hidden="1">
      <c r="A74" t="s">
        <v>15</v>
      </c>
      <c r="B74" t="str">
        <f>"FES1162687766"</f>
        <v>FES1162687766</v>
      </c>
      <c r="C74" s="9">
        <v>43587</v>
      </c>
      <c r="D74">
        <v>1</v>
      </c>
      <c r="E74">
        <v>2170686619</v>
      </c>
      <c r="F74" t="s">
        <v>16</v>
      </c>
      <c r="G74" t="s">
        <v>17</v>
      </c>
      <c r="H74" t="s">
        <v>141</v>
      </c>
      <c r="I74" t="s">
        <v>142</v>
      </c>
      <c r="J74" t="s">
        <v>201</v>
      </c>
      <c r="K74" s="9">
        <v>43588</v>
      </c>
      <c r="L74" s="10">
        <v>0.41666666666666669</v>
      </c>
      <c r="M74" t="s">
        <v>202</v>
      </c>
      <c r="N74" t="s">
        <v>203</v>
      </c>
      <c r="O74" t="s">
        <v>22</v>
      </c>
    </row>
    <row r="75" spans="1:15" hidden="1">
      <c r="A75" t="s">
        <v>15</v>
      </c>
      <c r="B75" t="str">
        <f>"FES1162687761"</f>
        <v>FES1162687761</v>
      </c>
      <c r="C75" s="9">
        <v>43587</v>
      </c>
      <c r="D75">
        <v>1</v>
      </c>
      <c r="E75">
        <v>2170685251</v>
      </c>
      <c r="F75" t="s">
        <v>16</v>
      </c>
      <c r="G75" t="s">
        <v>17</v>
      </c>
      <c r="H75" t="s">
        <v>141</v>
      </c>
      <c r="I75" t="s">
        <v>142</v>
      </c>
      <c r="J75" t="s">
        <v>204</v>
      </c>
      <c r="K75" s="9">
        <v>43588</v>
      </c>
      <c r="L75" s="10">
        <v>0.41597222222222219</v>
      </c>
      <c r="M75" t="s">
        <v>205</v>
      </c>
      <c r="N75" t="s">
        <v>206</v>
      </c>
      <c r="O75" t="s">
        <v>22</v>
      </c>
    </row>
    <row r="76" spans="1:15" hidden="1">
      <c r="A76" t="s">
        <v>15</v>
      </c>
      <c r="B76" t="str">
        <f>"FES1162687553"</f>
        <v>FES1162687553</v>
      </c>
      <c r="C76" s="9">
        <v>43587</v>
      </c>
      <c r="D76">
        <v>1</v>
      </c>
      <c r="E76">
        <v>217685593</v>
      </c>
      <c r="F76" t="s">
        <v>16</v>
      </c>
      <c r="G76" t="s">
        <v>17</v>
      </c>
      <c r="H76" t="s">
        <v>43</v>
      </c>
      <c r="I76" t="s">
        <v>44</v>
      </c>
      <c r="J76" t="s">
        <v>207</v>
      </c>
      <c r="K76" s="9">
        <v>43588</v>
      </c>
      <c r="L76" s="10">
        <v>0.41666666666666669</v>
      </c>
      <c r="M76" t="s">
        <v>208</v>
      </c>
      <c r="N76" t="s">
        <v>209</v>
      </c>
      <c r="O76" t="s">
        <v>22</v>
      </c>
    </row>
    <row r="77" spans="1:15" hidden="1">
      <c r="A77" t="s">
        <v>15</v>
      </c>
      <c r="B77" t="str">
        <f>"FES1162687707"</f>
        <v>FES1162687707</v>
      </c>
      <c r="C77" s="9">
        <v>43587</v>
      </c>
      <c r="D77">
        <v>1</v>
      </c>
      <c r="E77">
        <v>2170684455</v>
      </c>
      <c r="F77" t="s">
        <v>16</v>
      </c>
      <c r="G77" t="s">
        <v>17</v>
      </c>
      <c r="H77" t="s">
        <v>141</v>
      </c>
      <c r="I77" t="s">
        <v>185</v>
      </c>
      <c r="J77" t="s">
        <v>210</v>
      </c>
      <c r="K77" s="9">
        <v>43588</v>
      </c>
      <c r="L77" s="10">
        <v>0.35347222222222219</v>
      </c>
      <c r="M77" t="s">
        <v>211</v>
      </c>
      <c r="N77" t="s">
        <v>212</v>
      </c>
      <c r="O77" t="s">
        <v>22</v>
      </c>
    </row>
    <row r="78" spans="1:15" hidden="1">
      <c r="A78" t="s">
        <v>15</v>
      </c>
      <c r="B78" t="str">
        <f>"FES1162687545"</f>
        <v>FES1162687545</v>
      </c>
      <c r="C78" s="9">
        <v>43587</v>
      </c>
      <c r="D78">
        <v>1</v>
      </c>
      <c r="E78">
        <v>2170685072</v>
      </c>
      <c r="F78" t="s">
        <v>16</v>
      </c>
      <c r="G78" t="s">
        <v>17</v>
      </c>
      <c r="H78" t="s">
        <v>141</v>
      </c>
      <c r="I78" t="s">
        <v>142</v>
      </c>
      <c r="J78" t="s">
        <v>213</v>
      </c>
      <c r="K78" s="9">
        <v>43588</v>
      </c>
      <c r="L78" s="10">
        <v>0.39930555555555558</v>
      </c>
      <c r="M78" t="s">
        <v>214</v>
      </c>
      <c r="N78" t="s">
        <v>215</v>
      </c>
      <c r="O78" t="s">
        <v>22</v>
      </c>
    </row>
    <row r="79" spans="1:15" hidden="1">
      <c r="A79" t="s">
        <v>15</v>
      </c>
      <c r="B79" t="str">
        <f>"FES1162687551"</f>
        <v>FES1162687551</v>
      </c>
      <c r="C79" s="9">
        <v>43587</v>
      </c>
      <c r="D79">
        <v>1</v>
      </c>
      <c r="E79">
        <v>2170685560</v>
      </c>
      <c r="F79" t="s">
        <v>16</v>
      </c>
      <c r="G79" t="s">
        <v>17</v>
      </c>
      <c r="H79" t="s">
        <v>43</v>
      </c>
      <c r="I79" t="s">
        <v>54</v>
      </c>
      <c r="J79" t="s">
        <v>216</v>
      </c>
      <c r="K79" s="9">
        <v>43588</v>
      </c>
      <c r="L79" s="10">
        <v>0.41666666666666669</v>
      </c>
      <c r="M79" t="s">
        <v>56</v>
      </c>
      <c r="N79" t="s">
        <v>217</v>
      </c>
      <c r="O79" t="s">
        <v>22</v>
      </c>
    </row>
    <row r="80" spans="1:15" hidden="1">
      <c r="A80" t="s">
        <v>15</v>
      </c>
      <c r="B80" t="str">
        <f>"FES1162687522"</f>
        <v>FES1162687522</v>
      </c>
      <c r="C80" s="9">
        <v>43587</v>
      </c>
      <c r="D80">
        <v>1</v>
      </c>
      <c r="E80">
        <v>2170684359</v>
      </c>
      <c r="F80" t="s">
        <v>16</v>
      </c>
      <c r="G80" t="s">
        <v>17</v>
      </c>
      <c r="H80" t="s">
        <v>141</v>
      </c>
      <c r="I80" t="s">
        <v>185</v>
      </c>
      <c r="J80" t="s">
        <v>210</v>
      </c>
      <c r="K80" s="9">
        <v>43588</v>
      </c>
      <c r="L80" s="10">
        <v>0.3527777777777778</v>
      </c>
      <c r="M80" t="s">
        <v>211</v>
      </c>
      <c r="N80" t="s">
        <v>218</v>
      </c>
      <c r="O80" t="s">
        <v>22</v>
      </c>
    </row>
    <row r="81" spans="1:15" hidden="1">
      <c r="A81" t="s">
        <v>15</v>
      </c>
      <c r="B81" t="str">
        <f>"FES1162687762"</f>
        <v>FES1162687762</v>
      </c>
      <c r="C81" s="9">
        <v>43587</v>
      </c>
      <c r="D81">
        <v>1</v>
      </c>
      <c r="E81">
        <v>2170686611</v>
      </c>
      <c r="F81" t="s">
        <v>16</v>
      </c>
      <c r="G81" t="s">
        <v>17</v>
      </c>
      <c r="H81" t="s">
        <v>141</v>
      </c>
      <c r="I81" t="s">
        <v>185</v>
      </c>
      <c r="J81" t="s">
        <v>219</v>
      </c>
      <c r="K81" s="9">
        <v>43588</v>
      </c>
      <c r="L81" s="10">
        <v>0.37291666666666662</v>
      </c>
      <c r="M81" t="s">
        <v>220</v>
      </c>
      <c r="N81" t="s">
        <v>221</v>
      </c>
      <c r="O81" t="s">
        <v>22</v>
      </c>
    </row>
    <row r="82" spans="1:15" hidden="1">
      <c r="A82" t="s">
        <v>15</v>
      </c>
      <c r="B82" t="str">
        <f>"FES1162687571"</f>
        <v>FES1162687571</v>
      </c>
      <c r="C82" s="9">
        <v>43587</v>
      </c>
      <c r="D82">
        <v>1</v>
      </c>
      <c r="E82">
        <v>2170686022</v>
      </c>
      <c r="F82" t="s">
        <v>16</v>
      </c>
      <c r="G82" t="s">
        <v>17</v>
      </c>
      <c r="H82" t="s">
        <v>43</v>
      </c>
      <c r="I82" t="s">
        <v>75</v>
      </c>
      <c r="J82" t="s">
        <v>222</v>
      </c>
      <c r="K82" s="9">
        <v>43588</v>
      </c>
      <c r="L82" s="10">
        <v>0.48125000000000001</v>
      </c>
      <c r="M82" t="s">
        <v>223</v>
      </c>
      <c r="N82" t="s">
        <v>224</v>
      </c>
      <c r="O82" t="s">
        <v>22</v>
      </c>
    </row>
    <row r="83" spans="1:15" hidden="1">
      <c r="A83" t="s">
        <v>15</v>
      </c>
      <c r="B83" t="str">
        <f>"FES1162687654"</f>
        <v>FES1162687654</v>
      </c>
      <c r="C83" s="9">
        <v>43587</v>
      </c>
      <c r="D83">
        <v>1</v>
      </c>
      <c r="E83">
        <v>2170684377</v>
      </c>
      <c r="F83" t="s">
        <v>16</v>
      </c>
      <c r="G83" t="s">
        <v>17</v>
      </c>
      <c r="H83" t="s">
        <v>43</v>
      </c>
      <c r="I83" t="s">
        <v>44</v>
      </c>
      <c r="J83" t="s">
        <v>225</v>
      </c>
      <c r="K83" s="9">
        <v>43591</v>
      </c>
      <c r="L83" s="10">
        <v>0.34027777777777773</v>
      </c>
      <c r="M83" t="s">
        <v>226</v>
      </c>
      <c r="N83" t="s">
        <v>227</v>
      </c>
      <c r="O83" t="s">
        <v>22</v>
      </c>
    </row>
    <row r="84" spans="1:15" hidden="1">
      <c r="A84" t="s">
        <v>15</v>
      </c>
      <c r="B84" t="str">
        <f>"FES1162687667"</f>
        <v>FES1162687667</v>
      </c>
      <c r="C84" s="9">
        <v>43587</v>
      </c>
      <c r="D84">
        <v>1</v>
      </c>
      <c r="E84">
        <v>2170685183</v>
      </c>
      <c r="F84" t="s">
        <v>16</v>
      </c>
      <c r="G84" t="s">
        <v>17</v>
      </c>
      <c r="H84" t="s">
        <v>141</v>
      </c>
      <c r="I84" t="s">
        <v>142</v>
      </c>
      <c r="J84" t="s">
        <v>228</v>
      </c>
      <c r="K84" s="9">
        <v>43588</v>
      </c>
      <c r="L84" s="10">
        <v>0.4236111111111111</v>
      </c>
      <c r="M84" t="s">
        <v>229</v>
      </c>
      <c r="N84" t="s">
        <v>230</v>
      </c>
      <c r="O84" t="s">
        <v>22</v>
      </c>
    </row>
    <row r="85" spans="1:15" hidden="1">
      <c r="A85" t="s">
        <v>15</v>
      </c>
      <c r="B85" t="str">
        <f>"FES1162687511"</f>
        <v>FES1162687511</v>
      </c>
      <c r="C85" s="9">
        <v>43587</v>
      </c>
      <c r="D85">
        <v>1</v>
      </c>
      <c r="E85">
        <v>2170682803</v>
      </c>
      <c r="F85" t="s">
        <v>16</v>
      </c>
      <c r="G85" t="s">
        <v>17</v>
      </c>
      <c r="H85" t="s">
        <v>43</v>
      </c>
      <c r="I85" t="s">
        <v>44</v>
      </c>
      <c r="J85" t="s">
        <v>231</v>
      </c>
      <c r="K85" s="9">
        <v>43588</v>
      </c>
      <c r="L85" s="10">
        <v>0.40277777777777773</v>
      </c>
      <c r="M85" t="s">
        <v>232</v>
      </c>
      <c r="N85" t="s">
        <v>233</v>
      </c>
      <c r="O85" t="s">
        <v>22</v>
      </c>
    </row>
    <row r="86" spans="1:15" hidden="1">
      <c r="A86" t="s">
        <v>15</v>
      </c>
      <c r="B86" t="str">
        <f>"FES1162687556"</f>
        <v>FES1162687556</v>
      </c>
      <c r="C86" s="9">
        <v>43587</v>
      </c>
      <c r="D86">
        <v>1</v>
      </c>
      <c r="E86">
        <v>2170685638</v>
      </c>
      <c r="F86" t="s">
        <v>16</v>
      </c>
      <c r="G86" t="s">
        <v>17</v>
      </c>
      <c r="H86" t="s">
        <v>43</v>
      </c>
      <c r="I86" t="s">
        <v>44</v>
      </c>
      <c r="J86" t="s">
        <v>207</v>
      </c>
      <c r="K86" s="9">
        <v>43588</v>
      </c>
      <c r="L86" s="10">
        <v>0.41666666666666669</v>
      </c>
      <c r="M86" t="s">
        <v>208</v>
      </c>
      <c r="N86" t="s">
        <v>234</v>
      </c>
      <c r="O86" t="s">
        <v>22</v>
      </c>
    </row>
    <row r="87" spans="1:15" hidden="1">
      <c r="A87" t="s">
        <v>15</v>
      </c>
      <c r="B87" t="str">
        <f>"FES1162687523"</f>
        <v>FES1162687523</v>
      </c>
      <c r="C87" s="9">
        <v>43587</v>
      </c>
      <c r="D87">
        <v>1</v>
      </c>
      <c r="E87">
        <v>217684377</v>
      </c>
      <c r="F87" t="s">
        <v>16</v>
      </c>
      <c r="G87" t="s">
        <v>17</v>
      </c>
      <c r="H87" t="s">
        <v>43</v>
      </c>
      <c r="I87" t="s">
        <v>44</v>
      </c>
      <c r="J87" t="s">
        <v>225</v>
      </c>
      <c r="K87" s="9">
        <v>43591</v>
      </c>
      <c r="L87" s="10">
        <v>0.34027777777777773</v>
      </c>
      <c r="M87" t="s">
        <v>226</v>
      </c>
      <c r="N87" t="s">
        <v>235</v>
      </c>
      <c r="O87" t="s">
        <v>22</v>
      </c>
    </row>
    <row r="88" spans="1:15" hidden="1">
      <c r="A88" t="s">
        <v>15</v>
      </c>
      <c r="B88" t="str">
        <f>"FES1162687642"</f>
        <v>FES1162687642</v>
      </c>
      <c r="C88" s="9">
        <v>43587</v>
      </c>
      <c r="D88">
        <v>1</v>
      </c>
      <c r="E88">
        <v>2170683758</v>
      </c>
      <c r="F88" t="s">
        <v>16</v>
      </c>
      <c r="G88" t="s">
        <v>17</v>
      </c>
      <c r="H88" t="s">
        <v>43</v>
      </c>
      <c r="I88" t="s">
        <v>44</v>
      </c>
      <c r="J88" t="s">
        <v>236</v>
      </c>
      <c r="K88" s="9">
        <v>43588</v>
      </c>
      <c r="L88" s="10">
        <v>0.41666666666666669</v>
      </c>
      <c r="M88" t="s">
        <v>56</v>
      </c>
      <c r="N88" t="s">
        <v>237</v>
      </c>
      <c r="O88" t="s">
        <v>22</v>
      </c>
    </row>
    <row r="89" spans="1:15" hidden="1">
      <c r="A89" t="s">
        <v>15</v>
      </c>
      <c r="B89" t="str">
        <f>"FES1162687640"</f>
        <v>FES1162687640</v>
      </c>
      <c r="C89" s="9">
        <v>43587</v>
      </c>
      <c r="D89">
        <v>1</v>
      </c>
      <c r="E89">
        <v>2170682017</v>
      </c>
      <c r="F89" t="s">
        <v>16</v>
      </c>
      <c r="G89" t="s">
        <v>17</v>
      </c>
      <c r="H89" t="s">
        <v>132</v>
      </c>
      <c r="I89" t="s">
        <v>133</v>
      </c>
      <c r="J89" t="s">
        <v>238</v>
      </c>
      <c r="K89" s="9">
        <v>43588</v>
      </c>
      <c r="L89" s="10">
        <v>0.3576388888888889</v>
      </c>
      <c r="M89" t="s">
        <v>239</v>
      </c>
      <c r="N89" t="s">
        <v>240</v>
      </c>
      <c r="O89" t="s">
        <v>22</v>
      </c>
    </row>
    <row r="90" spans="1:15" hidden="1">
      <c r="A90" t="s">
        <v>15</v>
      </c>
      <c r="B90" t="str">
        <f>"FES1162687562"</f>
        <v>FES1162687562</v>
      </c>
      <c r="C90" s="9">
        <v>43587</v>
      </c>
      <c r="D90">
        <v>1</v>
      </c>
      <c r="E90">
        <v>2170685822</v>
      </c>
      <c r="F90" t="s">
        <v>16</v>
      </c>
      <c r="G90" t="s">
        <v>17</v>
      </c>
      <c r="H90" t="s">
        <v>43</v>
      </c>
      <c r="I90" t="s">
        <v>44</v>
      </c>
      <c r="J90" t="s">
        <v>176</v>
      </c>
      <c r="K90" s="9">
        <v>43588</v>
      </c>
      <c r="L90" s="10">
        <v>0.34513888888888888</v>
      </c>
      <c r="M90" t="s">
        <v>177</v>
      </c>
      <c r="N90" t="s">
        <v>241</v>
      </c>
      <c r="O90" t="s">
        <v>22</v>
      </c>
    </row>
    <row r="91" spans="1:15" hidden="1">
      <c r="A91" t="s">
        <v>15</v>
      </c>
      <c r="B91" t="str">
        <f>"FES1162687612"</f>
        <v>FES1162687612</v>
      </c>
      <c r="C91" s="9">
        <v>43587</v>
      </c>
      <c r="D91">
        <v>1</v>
      </c>
      <c r="E91">
        <v>2170686437</v>
      </c>
      <c r="F91" t="s">
        <v>16</v>
      </c>
      <c r="G91" t="s">
        <v>17</v>
      </c>
      <c r="H91" t="s">
        <v>43</v>
      </c>
      <c r="I91" t="s">
        <v>60</v>
      </c>
      <c r="J91" t="s">
        <v>242</v>
      </c>
      <c r="K91" s="9">
        <v>43591</v>
      </c>
      <c r="L91" s="10">
        <v>0.54722222222222217</v>
      </c>
      <c r="M91" t="s">
        <v>243</v>
      </c>
      <c r="N91" t="s">
        <v>244</v>
      </c>
      <c r="O91" t="s">
        <v>22</v>
      </c>
    </row>
    <row r="92" spans="1:15" hidden="1">
      <c r="A92" t="s">
        <v>15</v>
      </c>
      <c r="B92" t="str">
        <f>"FES1162687611"</f>
        <v>FES1162687611</v>
      </c>
      <c r="C92" s="9">
        <v>43587</v>
      </c>
      <c r="D92">
        <v>1</v>
      </c>
      <c r="E92">
        <v>2170684179</v>
      </c>
      <c r="F92" t="s">
        <v>16</v>
      </c>
      <c r="G92" t="s">
        <v>17</v>
      </c>
      <c r="H92" t="s">
        <v>43</v>
      </c>
      <c r="I92" t="s">
        <v>44</v>
      </c>
      <c r="J92" t="s">
        <v>176</v>
      </c>
      <c r="K92" s="9">
        <v>43588</v>
      </c>
      <c r="L92" s="10">
        <v>0.34513888888888888</v>
      </c>
      <c r="M92" t="s">
        <v>177</v>
      </c>
      <c r="N92" t="s">
        <v>245</v>
      </c>
      <c r="O92" t="s">
        <v>22</v>
      </c>
    </row>
    <row r="93" spans="1:15" hidden="1">
      <c r="A93" t="s">
        <v>15</v>
      </c>
      <c r="B93" t="str">
        <f>"FES1162687596"</f>
        <v>FES1162687596</v>
      </c>
      <c r="C93" s="9">
        <v>43587</v>
      </c>
      <c r="D93">
        <v>1</v>
      </c>
      <c r="E93">
        <v>2170686331</v>
      </c>
      <c r="F93" t="s">
        <v>16</v>
      </c>
      <c r="G93" t="s">
        <v>17</v>
      </c>
      <c r="H93" t="s">
        <v>43</v>
      </c>
      <c r="I93" t="s">
        <v>44</v>
      </c>
      <c r="J93" t="s">
        <v>176</v>
      </c>
      <c r="K93" s="9">
        <v>43588</v>
      </c>
      <c r="L93" s="10">
        <v>0.34513888888888888</v>
      </c>
      <c r="M93" t="s">
        <v>177</v>
      </c>
      <c r="N93" t="s">
        <v>246</v>
      </c>
      <c r="O93" t="s">
        <v>22</v>
      </c>
    </row>
    <row r="94" spans="1:15" hidden="1">
      <c r="A94" t="s">
        <v>15</v>
      </c>
      <c r="B94" t="str">
        <f>"FES1162687607"</f>
        <v>FES1162687607</v>
      </c>
      <c r="C94" s="9">
        <v>43587</v>
      </c>
      <c r="D94">
        <v>1</v>
      </c>
      <c r="E94">
        <v>2170686395</v>
      </c>
      <c r="F94" t="s">
        <v>16</v>
      </c>
      <c r="G94" t="s">
        <v>17</v>
      </c>
      <c r="H94" t="s">
        <v>132</v>
      </c>
      <c r="I94" t="s">
        <v>133</v>
      </c>
      <c r="J94" t="s">
        <v>247</v>
      </c>
      <c r="K94" s="9">
        <v>43588</v>
      </c>
      <c r="L94" s="10">
        <v>0.37986111111111115</v>
      </c>
      <c r="M94" t="s">
        <v>248</v>
      </c>
      <c r="N94" t="s">
        <v>249</v>
      </c>
      <c r="O94" t="s">
        <v>22</v>
      </c>
    </row>
    <row r="95" spans="1:15" hidden="1">
      <c r="A95" t="s">
        <v>15</v>
      </c>
      <c r="B95" t="str">
        <f>"FES1162687579"</f>
        <v>FES1162687579</v>
      </c>
      <c r="C95" s="9">
        <v>43587</v>
      </c>
      <c r="D95">
        <v>1</v>
      </c>
      <c r="E95">
        <v>2170686156</v>
      </c>
      <c r="F95" t="s">
        <v>16</v>
      </c>
      <c r="G95" t="s">
        <v>17</v>
      </c>
      <c r="H95" t="s">
        <v>43</v>
      </c>
      <c r="I95" t="s">
        <v>44</v>
      </c>
      <c r="J95" t="s">
        <v>250</v>
      </c>
      <c r="K95" s="9">
        <v>43588</v>
      </c>
      <c r="L95" s="10">
        <v>0.3833333333333333</v>
      </c>
      <c r="M95" t="s">
        <v>251</v>
      </c>
      <c r="N95" t="s">
        <v>252</v>
      </c>
      <c r="O95" t="s">
        <v>22</v>
      </c>
    </row>
    <row r="96" spans="1:15" hidden="1">
      <c r="A96" t="s">
        <v>15</v>
      </c>
      <c r="B96" t="str">
        <f>"FES1162687491"</f>
        <v>FES1162687491</v>
      </c>
      <c r="C96" s="9">
        <v>43587</v>
      </c>
      <c r="D96">
        <v>1</v>
      </c>
      <c r="E96">
        <v>2170684089</v>
      </c>
      <c r="F96" t="s">
        <v>16</v>
      </c>
      <c r="G96" t="s">
        <v>17</v>
      </c>
      <c r="H96" t="s">
        <v>32</v>
      </c>
      <c r="I96" t="s">
        <v>33</v>
      </c>
      <c r="J96" t="s">
        <v>34</v>
      </c>
      <c r="K96" s="9">
        <v>43588</v>
      </c>
      <c r="L96" s="10">
        <v>0.36319444444444443</v>
      </c>
      <c r="M96" t="s">
        <v>35</v>
      </c>
      <c r="N96" t="s">
        <v>253</v>
      </c>
      <c r="O96" t="s">
        <v>22</v>
      </c>
    </row>
    <row r="97" spans="1:15" hidden="1">
      <c r="A97" t="s">
        <v>15</v>
      </c>
      <c r="B97" t="str">
        <f>"FES1162687489"</f>
        <v>FES1162687489</v>
      </c>
      <c r="C97" s="9">
        <v>43587</v>
      </c>
      <c r="D97">
        <v>1</v>
      </c>
      <c r="E97">
        <v>2170680400</v>
      </c>
      <c r="F97" t="s">
        <v>16</v>
      </c>
      <c r="G97" t="s">
        <v>17</v>
      </c>
      <c r="H97" t="s">
        <v>32</v>
      </c>
      <c r="I97" t="s">
        <v>33</v>
      </c>
      <c r="J97" t="s">
        <v>34</v>
      </c>
      <c r="K97" s="9">
        <v>43588</v>
      </c>
      <c r="L97" s="10">
        <v>0.36319444444444443</v>
      </c>
      <c r="M97" t="s">
        <v>35</v>
      </c>
      <c r="N97" t="s">
        <v>254</v>
      </c>
      <c r="O97" t="s">
        <v>22</v>
      </c>
    </row>
    <row r="98" spans="1:15" hidden="1">
      <c r="A98" t="s">
        <v>15</v>
      </c>
      <c r="B98" t="str">
        <f>"FES1162687541"</f>
        <v>FES1162687541</v>
      </c>
      <c r="C98" s="9">
        <v>43587</v>
      </c>
      <c r="D98">
        <v>1</v>
      </c>
      <c r="E98">
        <v>2170685003</v>
      </c>
      <c r="F98" t="s">
        <v>16</v>
      </c>
      <c r="G98" t="s">
        <v>17</v>
      </c>
      <c r="H98" t="s">
        <v>32</v>
      </c>
      <c r="I98" t="s">
        <v>33</v>
      </c>
      <c r="J98" t="s">
        <v>34</v>
      </c>
      <c r="K98" s="9">
        <v>43588</v>
      </c>
      <c r="L98" s="10">
        <v>0.36319444444444443</v>
      </c>
      <c r="M98" t="s">
        <v>35</v>
      </c>
      <c r="N98" t="s">
        <v>255</v>
      </c>
      <c r="O98" t="s">
        <v>22</v>
      </c>
    </row>
    <row r="99" spans="1:15" hidden="1">
      <c r="A99" t="s">
        <v>15</v>
      </c>
      <c r="B99" t="str">
        <f>"FES1162687495"</f>
        <v>FES1162687495</v>
      </c>
      <c r="C99" s="9">
        <v>43587</v>
      </c>
      <c r="D99">
        <v>1</v>
      </c>
      <c r="E99">
        <v>2170680728</v>
      </c>
      <c r="F99" t="s">
        <v>16</v>
      </c>
      <c r="G99" t="s">
        <v>17</v>
      </c>
      <c r="H99" t="s">
        <v>43</v>
      </c>
      <c r="I99" t="s">
        <v>44</v>
      </c>
      <c r="J99" t="s">
        <v>256</v>
      </c>
      <c r="K99" s="9">
        <v>43588</v>
      </c>
      <c r="L99" s="10">
        <v>0.38125000000000003</v>
      </c>
      <c r="M99" t="s">
        <v>257</v>
      </c>
      <c r="N99" t="s">
        <v>258</v>
      </c>
      <c r="O99" t="s">
        <v>22</v>
      </c>
    </row>
    <row r="100" spans="1:15" hidden="1">
      <c r="A100" t="s">
        <v>15</v>
      </c>
      <c r="B100" t="str">
        <f>"FES1162687533"</f>
        <v>FES1162687533</v>
      </c>
      <c r="C100" s="9">
        <v>43587</v>
      </c>
      <c r="D100">
        <v>3</v>
      </c>
      <c r="E100">
        <v>2170684851</v>
      </c>
      <c r="F100" t="s">
        <v>16</v>
      </c>
      <c r="G100" t="s">
        <v>17</v>
      </c>
      <c r="H100" t="s">
        <v>132</v>
      </c>
      <c r="I100" t="s">
        <v>133</v>
      </c>
      <c r="J100" t="s">
        <v>189</v>
      </c>
      <c r="K100" s="9">
        <v>43588</v>
      </c>
      <c r="L100" s="10">
        <v>0.43194444444444446</v>
      </c>
      <c r="M100" t="s">
        <v>259</v>
      </c>
      <c r="N100" t="s">
        <v>260</v>
      </c>
      <c r="O100" t="s">
        <v>22</v>
      </c>
    </row>
    <row r="101" spans="1:15" hidden="1">
      <c r="A101" t="s">
        <v>15</v>
      </c>
      <c r="B101" t="str">
        <f>"FES1162687502"</f>
        <v>FES1162687502</v>
      </c>
      <c r="C101" s="9">
        <v>43587</v>
      </c>
      <c r="D101">
        <v>1</v>
      </c>
      <c r="E101">
        <v>2170682223</v>
      </c>
      <c r="F101" t="s">
        <v>16</v>
      </c>
      <c r="G101" t="s">
        <v>17</v>
      </c>
      <c r="H101" t="s">
        <v>32</v>
      </c>
      <c r="I101" t="s">
        <v>33</v>
      </c>
      <c r="J101" t="s">
        <v>34</v>
      </c>
      <c r="K101" s="9">
        <v>43588</v>
      </c>
      <c r="L101" s="10">
        <v>0.36319444444444443</v>
      </c>
      <c r="M101" t="s">
        <v>35</v>
      </c>
      <c r="N101" t="s">
        <v>261</v>
      </c>
      <c r="O101" t="s">
        <v>22</v>
      </c>
    </row>
    <row r="102" spans="1:15" hidden="1">
      <c r="A102" t="s">
        <v>15</v>
      </c>
      <c r="B102" t="str">
        <f>"FES1162687455"</f>
        <v>FES1162687455</v>
      </c>
      <c r="C102" s="9">
        <v>43587</v>
      </c>
      <c r="D102">
        <v>1</v>
      </c>
      <c r="E102">
        <v>2170685911</v>
      </c>
      <c r="F102" t="s">
        <v>16</v>
      </c>
      <c r="G102" t="s">
        <v>17</v>
      </c>
      <c r="H102" t="s">
        <v>32</v>
      </c>
      <c r="I102" t="s">
        <v>33</v>
      </c>
      <c r="J102" t="s">
        <v>34</v>
      </c>
      <c r="K102" s="9">
        <v>43588</v>
      </c>
      <c r="L102" s="10">
        <v>0.36319444444444443</v>
      </c>
      <c r="M102" t="s">
        <v>35</v>
      </c>
      <c r="N102" t="s">
        <v>262</v>
      </c>
      <c r="O102" t="s">
        <v>22</v>
      </c>
    </row>
    <row r="103" spans="1:15" hidden="1">
      <c r="A103" t="s">
        <v>15</v>
      </c>
      <c r="B103" t="str">
        <f>"FES1162687501"</f>
        <v>FES1162687501</v>
      </c>
      <c r="C103" s="9">
        <v>43587</v>
      </c>
      <c r="D103">
        <v>1</v>
      </c>
      <c r="E103">
        <v>21706822222</v>
      </c>
      <c r="F103" t="s">
        <v>16</v>
      </c>
      <c r="G103" t="s">
        <v>17</v>
      </c>
      <c r="H103" t="s">
        <v>32</v>
      </c>
      <c r="I103" t="s">
        <v>33</v>
      </c>
      <c r="J103" t="s">
        <v>34</v>
      </c>
      <c r="K103" s="9">
        <v>43588</v>
      </c>
      <c r="L103" s="10">
        <v>0.36319444444444443</v>
      </c>
      <c r="M103" t="s">
        <v>35</v>
      </c>
      <c r="N103" t="s">
        <v>263</v>
      </c>
      <c r="O103" t="s">
        <v>22</v>
      </c>
    </row>
    <row r="104" spans="1:15" hidden="1">
      <c r="A104" t="s">
        <v>15</v>
      </c>
      <c r="B104" t="str">
        <f>"FES1162687492"</f>
        <v>FES1162687492</v>
      </c>
      <c r="C104" s="9">
        <v>43587</v>
      </c>
      <c r="D104">
        <v>1</v>
      </c>
      <c r="E104">
        <v>2170680490</v>
      </c>
      <c r="F104" t="s">
        <v>16</v>
      </c>
      <c r="G104" t="s">
        <v>17</v>
      </c>
      <c r="H104" t="s">
        <v>32</v>
      </c>
      <c r="I104" t="s">
        <v>33</v>
      </c>
      <c r="J104" t="s">
        <v>34</v>
      </c>
      <c r="K104" s="9">
        <v>43588</v>
      </c>
      <c r="L104" s="10">
        <v>0.36319444444444443</v>
      </c>
      <c r="M104" t="s">
        <v>35</v>
      </c>
      <c r="N104" t="s">
        <v>264</v>
      </c>
      <c r="O104" t="s">
        <v>22</v>
      </c>
    </row>
    <row r="105" spans="1:15" hidden="1">
      <c r="A105" t="s">
        <v>15</v>
      </c>
      <c r="B105" t="str">
        <f>"FES1162687503"</f>
        <v>FES1162687503</v>
      </c>
      <c r="C105" s="9">
        <v>43587</v>
      </c>
      <c r="D105">
        <v>1</v>
      </c>
      <c r="E105">
        <v>2170682224</v>
      </c>
      <c r="F105" t="s">
        <v>16</v>
      </c>
      <c r="G105" t="s">
        <v>17</v>
      </c>
      <c r="H105" t="s">
        <v>32</v>
      </c>
      <c r="I105" t="s">
        <v>33</v>
      </c>
      <c r="J105" t="s">
        <v>34</v>
      </c>
      <c r="K105" s="9">
        <v>43588</v>
      </c>
      <c r="L105" s="10">
        <v>0.36319444444444443</v>
      </c>
      <c r="M105" t="s">
        <v>35</v>
      </c>
      <c r="N105" t="s">
        <v>265</v>
      </c>
      <c r="O105" t="s">
        <v>22</v>
      </c>
    </row>
    <row r="106" spans="1:15" hidden="1">
      <c r="A106" t="s">
        <v>15</v>
      </c>
      <c r="B106" t="str">
        <f>"FES1162687494"</f>
        <v>FES1162687494</v>
      </c>
      <c r="C106" s="9">
        <v>43587</v>
      </c>
      <c r="D106">
        <v>1</v>
      </c>
      <c r="E106">
        <v>2170680529</v>
      </c>
      <c r="F106" t="s">
        <v>16</v>
      </c>
      <c r="G106" t="s">
        <v>17</v>
      </c>
      <c r="H106" t="s">
        <v>32</v>
      </c>
      <c r="I106" t="s">
        <v>33</v>
      </c>
      <c r="J106" t="s">
        <v>34</v>
      </c>
      <c r="K106" s="9">
        <v>43588</v>
      </c>
      <c r="L106" s="10">
        <v>0.36319444444444443</v>
      </c>
      <c r="M106" t="s">
        <v>35</v>
      </c>
      <c r="N106" t="s">
        <v>266</v>
      </c>
      <c r="O106" t="s">
        <v>22</v>
      </c>
    </row>
    <row r="107" spans="1:15" hidden="1">
      <c r="A107" t="s">
        <v>15</v>
      </c>
      <c r="B107" t="str">
        <f>"FES1162687504"</f>
        <v>FES1162687504</v>
      </c>
      <c r="C107" s="9">
        <v>43587</v>
      </c>
      <c r="D107">
        <v>1</v>
      </c>
      <c r="E107">
        <v>2170682225</v>
      </c>
      <c r="F107" t="s">
        <v>16</v>
      </c>
      <c r="G107" t="s">
        <v>17</v>
      </c>
      <c r="H107" t="s">
        <v>32</v>
      </c>
      <c r="I107" t="s">
        <v>33</v>
      </c>
      <c r="J107" t="s">
        <v>34</v>
      </c>
      <c r="K107" s="9">
        <v>43588</v>
      </c>
      <c r="L107" s="10">
        <v>0.36319444444444443</v>
      </c>
      <c r="M107" t="s">
        <v>35</v>
      </c>
      <c r="N107" t="s">
        <v>267</v>
      </c>
      <c r="O107" t="s">
        <v>22</v>
      </c>
    </row>
    <row r="108" spans="1:15" hidden="1">
      <c r="A108" t="s">
        <v>15</v>
      </c>
      <c r="B108" t="str">
        <f>"FES1162687457"</f>
        <v>FES1162687457</v>
      </c>
      <c r="C108" s="9">
        <v>43587</v>
      </c>
      <c r="D108">
        <v>1</v>
      </c>
      <c r="E108">
        <v>2170686296</v>
      </c>
      <c r="F108" t="s">
        <v>16</v>
      </c>
      <c r="G108" t="s">
        <v>17</v>
      </c>
      <c r="H108" t="s">
        <v>32</v>
      </c>
      <c r="I108" t="s">
        <v>33</v>
      </c>
      <c r="J108" t="s">
        <v>34</v>
      </c>
      <c r="K108" s="9">
        <v>43588</v>
      </c>
      <c r="L108" s="10">
        <v>0.36319444444444443</v>
      </c>
      <c r="M108" t="s">
        <v>35</v>
      </c>
      <c r="N108" t="s">
        <v>268</v>
      </c>
      <c r="O108" t="s">
        <v>22</v>
      </c>
    </row>
    <row r="109" spans="1:15" hidden="1">
      <c r="A109" t="s">
        <v>15</v>
      </c>
      <c r="B109" t="str">
        <f>"FES1162687452"</f>
        <v>FES1162687452</v>
      </c>
      <c r="C109" s="9">
        <v>43587</v>
      </c>
      <c r="D109">
        <v>1</v>
      </c>
      <c r="E109">
        <v>2170685225</v>
      </c>
      <c r="F109" t="s">
        <v>16</v>
      </c>
      <c r="G109" t="s">
        <v>17</v>
      </c>
      <c r="H109" t="s">
        <v>32</v>
      </c>
      <c r="I109" t="s">
        <v>269</v>
      </c>
      <c r="J109" t="s">
        <v>270</v>
      </c>
      <c r="K109" s="9">
        <v>43588</v>
      </c>
      <c r="L109" s="10">
        <v>0.42708333333333331</v>
      </c>
      <c r="M109" t="s">
        <v>271</v>
      </c>
      <c r="N109" t="s">
        <v>272</v>
      </c>
      <c r="O109" t="s">
        <v>22</v>
      </c>
    </row>
    <row r="110" spans="1:15" hidden="1">
      <c r="A110" t="s">
        <v>15</v>
      </c>
      <c r="B110" t="str">
        <f>"FES1162687487"</f>
        <v>FES1162687487</v>
      </c>
      <c r="C110" s="9">
        <v>43587</v>
      </c>
      <c r="D110">
        <v>1</v>
      </c>
      <c r="E110">
        <v>2170678540</v>
      </c>
      <c r="F110" t="s">
        <v>16</v>
      </c>
      <c r="G110" t="s">
        <v>17</v>
      </c>
      <c r="H110" t="s">
        <v>32</v>
      </c>
      <c r="I110" t="s">
        <v>33</v>
      </c>
      <c r="J110" t="s">
        <v>34</v>
      </c>
      <c r="K110" s="9">
        <v>43588</v>
      </c>
      <c r="L110" s="10">
        <v>0.36319444444444443</v>
      </c>
      <c r="M110" t="s">
        <v>35</v>
      </c>
      <c r="N110" t="s">
        <v>273</v>
      </c>
      <c r="O110" t="s">
        <v>22</v>
      </c>
    </row>
    <row r="111" spans="1:15" hidden="1">
      <c r="A111" t="s">
        <v>15</v>
      </c>
      <c r="B111" t="str">
        <f>"FES1162687486"</f>
        <v>FES1162687486</v>
      </c>
      <c r="C111" s="9">
        <v>43587</v>
      </c>
      <c r="D111">
        <v>1</v>
      </c>
      <c r="E111">
        <v>2170678539</v>
      </c>
      <c r="F111" t="s">
        <v>16</v>
      </c>
      <c r="G111" t="s">
        <v>17</v>
      </c>
      <c r="H111" t="s">
        <v>32</v>
      </c>
      <c r="I111" t="s">
        <v>33</v>
      </c>
      <c r="J111" t="s">
        <v>34</v>
      </c>
      <c r="K111" s="9">
        <v>43588</v>
      </c>
      <c r="L111" s="10">
        <v>0.36319444444444443</v>
      </c>
      <c r="M111" t="s">
        <v>35</v>
      </c>
      <c r="N111" t="s">
        <v>274</v>
      </c>
      <c r="O111" t="s">
        <v>22</v>
      </c>
    </row>
    <row r="112" spans="1:15" hidden="1">
      <c r="A112" t="s">
        <v>15</v>
      </c>
      <c r="B112" t="str">
        <f>"FES1162687482"</f>
        <v>FES1162687482</v>
      </c>
      <c r="C112" s="9">
        <v>43587</v>
      </c>
      <c r="D112">
        <v>1</v>
      </c>
      <c r="E112">
        <v>2170676717</v>
      </c>
      <c r="F112" t="s">
        <v>16</v>
      </c>
      <c r="G112" t="s">
        <v>17</v>
      </c>
      <c r="H112" t="s">
        <v>32</v>
      </c>
      <c r="I112" t="s">
        <v>33</v>
      </c>
      <c r="J112" t="s">
        <v>34</v>
      </c>
      <c r="K112" s="9">
        <v>43588</v>
      </c>
      <c r="L112" s="10">
        <v>0.36319444444444443</v>
      </c>
      <c r="M112" t="s">
        <v>35</v>
      </c>
      <c r="N112" t="s">
        <v>275</v>
      </c>
      <c r="O112" t="s">
        <v>22</v>
      </c>
    </row>
    <row r="113" spans="1:15" hidden="1">
      <c r="A113" t="s">
        <v>15</v>
      </c>
      <c r="B113" t="str">
        <f>"FES1162687490"</f>
        <v>FES1162687490</v>
      </c>
      <c r="C113" s="9">
        <v>43587</v>
      </c>
      <c r="D113">
        <v>1</v>
      </c>
      <c r="E113">
        <v>2170680456</v>
      </c>
      <c r="F113" t="s">
        <v>16</v>
      </c>
      <c r="G113" t="s">
        <v>17</v>
      </c>
      <c r="H113" t="s">
        <v>32</v>
      </c>
      <c r="I113" t="s">
        <v>33</v>
      </c>
      <c r="J113" t="s">
        <v>34</v>
      </c>
      <c r="K113" s="9">
        <v>43588</v>
      </c>
      <c r="L113" s="10">
        <v>0.36319444444444443</v>
      </c>
      <c r="M113" t="s">
        <v>35</v>
      </c>
      <c r="N113" t="s">
        <v>276</v>
      </c>
      <c r="O113" t="s">
        <v>22</v>
      </c>
    </row>
    <row r="114" spans="1:15" hidden="1">
      <c r="A114" t="s">
        <v>15</v>
      </c>
      <c r="B114" t="str">
        <f>"FES1162687493"</f>
        <v>FES1162687493</v>
      </c>
      <c r="C114" s="9">
        <v>43587</v>
      </c>
      <c r="D114">
        <v>1</v>
      </c>
      <c r="E114">
        <v>2170680527</v>
      </c>
      <c r="F114" t="s">
        <v>16</v>
      </c>
      <c r="G114" t="s">
        <v>17</v>
      </c>
      <c r="H114" t="s">
        <v>32</v>
      </c>
      <c r="I114" t="s">
        <v>33</v>
      </c>
      <c r="J114" t="s">
        <v>34</v>
      </c>
      <c r="K114" s="9">
        <v>43588</v>
      </c>
      <c r="L114" s="10">
        <v>0.36319444444444443</v>
      </c>
      <c r="M114" t="s">
        <v>35</v>
      </c>
      <c r="N114" t="s">
        <v>277</v>
      </c>
      <c r="O114" t="s">
        <v>22</v>
      </c>
    </row>
    <row r="115" spans="1:15" hidden="1">
      <c r="A115" t="s">
        <v>15</v>
      </c>
      <c r="B115" t="str">
        <f>"FES1162687485"</f>
        <v>FES1162687485</v>
      </c>
      <c r="C115" s="9">
        <v>43587</v>
      </c>
      <c r="D115">
        <v>1</v>
      </c>
      <c r="E115">
        <v>2170678519</v>
      </c>
      <c r="F115" t="s">
        <v>16</v>
      </c>
      <c r="G115" t="s">
        <v>17</v>
      </c>
      <c r="H115" t="s">
        <v>32</v>
      </c>
      <c r="I115" t="s">
        <v>33</v>
      </c>
      <c r="J115" t="s">
        <v>34</v>
      </c>
      <c r="K115" s="9">
        <v>43588</v>
      </c>
      <c r="L115" s="10">
        <v>0.36319444444444443</v>
      </c>
      <c r="M115" t="s">
        <v>35</v>
      </c>
      <c r="N115" t="s">
        <v>278</v>
      </c>
      <c r="O115" t="s">
        <v>22</v>
      </c>
    </row>
    <row r="116" spans="1:15" hidden="1">
      <c r="A116" t="s">
        <v>15</v>
      </c>
      <c r="B116" t="str">
        <f>"FES1162687496"</f>
        <v>FES1162687496</v>
      </c>
      <c r="C116" s="9">
        <v>43587</v>
      </c>
      <c r="D116">
        <v>1</v>
      </c>
      <c r="E116">
        <v>2170681137</v>
      </c>
      <c r="F116" t="s">
        <v>16</v>
      </c>
      <c r="G116" t="s">
        <v>17</v>
      </c>
      <c r="H116" t="s">
        <v>32</v>
      </c>
      <c r="I116" t="s">
        <v>33</v>
      </c>
      <c r="J116" t="s">
        <v>34</v>
      </c>
      <c r="K116" s="9">
        <v>43588</v>
      </c>
      <c r="L116" s="10">
        <v>0.36319444444444443</v>
      </c>
      <c r="M116" t="s">
        <v>35</v>
      </c>
      <c r="N116" t="s">
        <v>279</v>
      </c>
      <c r="O116" t="s">
        <v>22</v>
      </c>
    </row>
    <row r="117" spans="1:15" hidden="1">
      <c r="A117" t="s">
        <v>15</v>
      </c>
      <c r="B117" t="str">
        <f>"FES1162687483"</f>
        <v>FES1162687483</v>
      </c>
      <c r="C117" s="9">
        <v>43587</v>
      </c>
      <c r="D117">
        <v>2</v>
      </c>
      <c r="E117">
        <v>2170676764</v>
      </c>
      <c r="F117" t="s">
        <v>16</v>
      </c>
      <c r="G117" t="s">
        <v>17</v>
      </c>
      <c r="H117" t="s">
        <v>32</v>
      </c>
      <c r="I117" t="s">
        <v>33</v>
      </c>
      <c r="J117" t="s">
        <v>34</v>
      </c>
      <c r="K117" s="9">
        <v>43588</v>
      </c>
      <c r="L117" s="10">
        <v>0.36319444444444443</v>
      </c>
      <c r="M117" t="s">
        <v>35</v>
      </c>
      <c r="N117" t="s">
        <v>280</v>
      </c>
      <c r="O117" t="s">
        <v>22</v>
      </c>
    </row>
    <row r="118" spans="1:15" hidden="1">
      <c r="A118" t="s">
        <v>15</v>
      </c>
      <c r="B118" t="str">
        <f>"FES1162687631"</f>
        <v>FES1162687631</v>
      </c>
      <c r="C118" s="9">
        <v>43587</v>
      </c>
      <c r="D118">
        <v>2</v>
      </c>
      <c r="E118">
        <v>2170686533</v>
      </c>
      <c r="F118" t="s">
        <v>58</v>
      </c>
      <c r="G118" t="s">
        <v>59</v>
      </c>
      <c r="H118" t="s">
        <v>59</v>
      </c>
      <c r="I118" t="s">
        <v>18</v>
      </c>
      <c r="J118" t="s">
        <v>281</v>
      </c>
      <c r="K118" s="9">
        <v>43588</v>
      </c>
      <c r="L118" s="10">
        <v>0.33333333333333331</v>
      </c>
      <c r="M118" t="s">
        <v>282</v>
      </c>
      <c r="N118" t="s">
        <v>283</v>
      </c>
      <c r="O118" t="s">
        <v>22</v>
      </c>
    </row>
    <row r="119" spans="1:15" hidden="1">
      <c r="A119" t="s">
        <v>15</v>
      </c>
      <c r="B119" t="str">
        <f>"009935723232"</f>
        <v>009935723232</v>
      </c>
      <c r="C119" s="9">
        <v>43587</v>
      </c>
      <c r="D119">
        <v>1</v>
      </c>
      <c r="E119">
        <v>1162687284</v>
      </c>
      <c r="F119" t="s">
        <v>16</v>
      </c>
      <c r="G119" t="s">
        <v>17</v>
      </c>
      <c r="H119" t="s">
        <v>32</v>
      </c>
      <c r="I119" t="s">
        <v>33</v>
      </c>
      <c r="J119" t="s">
        <v>284</v>
      </c>
      <c r="K119" s="9">
        <v>43588</v>
      </c>
      <c r="L119" s="10">
        <v>0.36944444444444446</v>
      </c>
      <c r="M119" t="s">
        <v>285</v>
      </c>
      <c r="N119" t="s">
        <v>286</v>
      </c>
      <c r="O119" t="s">
        <v>287</v>
      </c>
    </row>
    <row r="120" spans="1:15">
      <c r="A120" s="6" t="s">
        <v>15</v>
      </c>
      <c r="B120" s="6" t="str">
        <f>"FES1162687730"</f>
        <v>FES1162687730</v>
      </c>
      <c r="C120" s="7">
        <v>43587</v>
      </c>
      <c r="D120" s="6">
        <v>1</v>
      </c>
      <c r="E120" s="6">
        <v>21706849999</v>
      </c>
      <c r="F120" s="6" t="s">
        <v>16</v>
      </c>
      <c r="G120" s="6" t="s">
        <v>17</v>
      </c>
      <c r="H120" s="6" t="s">
        <v>17</v>
      </c>
      <c r="I120" s="6" t="s">
        <v>64</v>
      </c>
      <c r="J120" s="6" t="s">
        <v>288</v>
      </c>
      <c r="K120" s="7">
        <v>43591</v>
      </c>
      <c r="L120" s="8">
        <v>0.40277777777777773</v>
      </c>
      <c r="M120" s="6" t="s">
        <v>289</v>
      </c>
      <c r="N120" s="6" t="s">
        <v>21</v>
      </c>
      <c r="O120" s="6" t="s">
        <v>22</v>
      </c>
    </row>
    <row r="121" spans="1:15" hidden="1">
      <c r="A121" t="s">
        <v>15</v>
      </c>
      <c r="B121" t="str">
        <f>"FES1162687663"</f>
        <v>FES1162687663</v>
      </c>
      <c r="C121" s="9">
        <v>43587</v>
      </c>
      <c r="D121">
        <v>1</v>
      </c>
      <c r="E121">
        <v>2170684711</v>
      </c>
      <c r="F121" t="s">
        <v>16</v>
      </c>
      <c r="G121" t="s">
        <v>17</v>
      </c>
      <c r="H121" t="s">
        <v>290</v>
      </c>
      <c r="I121" t="s">
        <v>291</v>
      </c>
      <c r="J121" t="s">
        <v>292</v>
      </c>
      <c r="K121" s="9">
        <v>43588</v>
      </c>
      <c r="L121" s="10">
        <v>0.42499999999999999</v>
      </c>
      <c r="M121" t="s">
        <v>56</v>
      </c>
      <c r="N121" t="s">
        <v>293</v>
      </c>
      <c r="O121" t="s">
        <v>22</v>
      </c>
    </row>
    <row r="122" spans="1:15" hidden="1">
      <c r="A122" t="s">
        <v>15</v>
      </c>
      <c r="B122" t="str">
        <f>"FES1162687507"</f>
        <v>FES1162687507</v>
      </c>
      <c r="C122" s="9">
        <v>43587</v>
      </c>
      <c r="D122">
        <v>1</v>
      </c>
      <c r="E122">
        <v>2170682505</v>
      </c>
      <c r="F122" t="s">
        <v>16</v>
      </c>
      <c r="G122" t="s">
        <v>17</v>
      </c>
      <c r="H122" t="s">
        <v>290</v>
      </c>
      <c r="I122" t="s">
        <v>291</v>
      </c>
      <c r="J122" t="s">
        <v>294</v>
      </c>
      <c r="K122" s="9">
        <v>43588</v>
      </c>
      <c r="L122" s="10">
        <v>0.43055555555555558</v>
      </c>
      <c r="M122" t="s">
        <v>295</v>
      </c>
      <c r="N122" t="s">
        <v>296</v>
      </c>
      <c r="O122" t="s">
        <v>22</v>
      </c>
    </row>
    <row r="123" spans="1:15" hidden="1">
      <c r="A123" t="s">
        <v>15</v>
      </c>
      <c r="B123" t="str">
        <f>"FES1162687750"</f>
        <v>FES1162687750</v>
      </c>
      <c r="C123" s="9">
        <v>43587</v>
      </c>
      <c r="D123">
        <v>1</v>
      </c>
      <c r="E123">
        <v>2170686601</v>
      </c>
      <c r="F123" t="s">
        <v>16</v>
      </c>
      <c r="G123" t="s">
        <v>17</v>
      </c>
      <c r="H123" t="s">
        <v>290</v>
      </c>
      <c r="I123" t="s">
        <v>291</v>
      </c>
      <c r="J123" t="s">
        <v>297</v>
      </c>
      <c r="K123" s="9">
        <v>43588</v>
      </c>
      <c r="L123" s="10">
        <v>0.35069444444444442</v>
      </c>
      <c r="M123" t="s">
        <v>298</v>
      </c>
      <c r="N123" t="s">
        <v>299</v>
      </c>
      <c r="O123" t="s">
        <v>22</v>
      </c>
    </row>
    <row r="124" spans="1:15" hidden="1">
      <c r="A124" t="s">
        <v>15</v>
      </c>
      <c r="B124" t="str">
        <f>"FES1162687700"</f>
        <v>FES1162687700</v>
      </c>
      <c r="C124" s="9">
        <v>43587</v>
      </c>
      <c r="D124">
        <v>1</v>
      </c>
      <c r="E124">
        <v>2170684373</v>
      </c>
      <c r="F124" t="s">
        <v>16</v>
      </c>
      <c r="G124" t="s">
        <v>17</v>
      </c>
      <c r="H124" t="s">
        <v>300</v>
      </c>
      <c r="I124" t="s">
        <v>301</v>
      </c>
      <c r="J124" t="s">
        <v>302</v>
      </c>
      <c r="K124" s="9">
        <v>43588</v>
      </c>
      <c r="L124" s="10">
        <v>0.35138888888888892</v>
      </c>
      <c r="M124" t="s">
        <v>303</v>
      </c>
      <c r="N124" t="s">
        <v>304</v>
      </c>
      <c r="O124" t="s">
        <v>22</v>
      </c>
    </row>
    <row r="125" spans="1:15" hidden="1">
      <c r="A125" t="s">
        <v>15</v>
      </c>
      <c r="B125" t="str">
        <f>"FES1162687575"</f>
        <v>FES1162687575</v>
      </c>
      <c r="C125" s="9">
        <v>43587</v>
      </c>
      <c r="D125">
        <v>1</v>
      </c>
      <c r="E125" t="s">
        <v>305</v>
      </c>
      <c r="F125" t="s">
        <v>16</v>
      </c>
      <c r="G125" t="s">
        <v>17</v>
      </c>
      <c r="H125" t="s">
        <v>290</v>
      </c>
      <c r="I125" t="s">
        <v>291</v>
      </c>
      <c r="J125" t="s">
        <v>306</v>
      </c>
      <c r="K125" s="9">
        <v>43592</v>
      </c>
      <c r="L125" s="10">
        <v>0.43124999999999997</v>
      </c>
      <c r="M125" t="s">
        <v>307</v>
      </c>
      <c r="N125" t="s">
        <v>308</v>
      </c>
      <c r="O125" t="s">
        <v>22</v>
      </c>
    </row>
    <row r="126" spans="1:15" hidden="1">
      <c r="A126" t="s">
        <v>15</v>
      </c>
      <c r="B126" t="str">
        <f>"FES1162687539"</f>
        <v>FES1162687539</v>
      </c>
      <c r="C126" s="9">
        <v>43587</v>
      </c>
      <c r="D126">
        <v>1</v>
      </c>
      <c r="E126">
        <v>2170684958</v>
      </c>
      <c r="F126" t="s">
        <v>16</v>
      </c>
      <c r="G126" t="s">
        <v>17</v>
      </c>
      <c r="H126" t="s">
        <v>290</v>
      </c>
      <c r="I126" t="s">
        <v>309</v>
      </c>
      <c r="J126" t="s">
        <v>310</v>
      </c>
      <c r="K126" s="9">
        <v>43588</v>
      </c>
      <c r="L126" s="10">
        <v>0.3888888888888889</v>
      </c>
      <c r="M126" t="s">
        <v>311</v>
      </c>
      <c r="N126" t="s">
        <v>312</v>
      </c>
      <c r="O126" t="s">
        <v>22</v>
      </c>
    </row>
    <row r="127" spans="1:15" hidden="1">
      <c r="A127" t="s">
        <v>15</v>
      </c>
      <c r="B127" t="str">
        <f>"FES1162687570"</f>
        <v>FES1162687570</v>
      </c>
      <c r="C127" s="9">
        <v>43587</v>
      </c>
      <c r="D127">
        <v>1</v>
      </c>
      <c r="E127">
        <v>21706859933</v>
      </c>
      <c r="F127" t="s">
        <v>16</v>
      </c>
      <c r="G127" t="s">
        <v>17</v>
      </c>
      <c r="H127" t="s">
        <v>290</v>
      </c>
      <c r="I127" t="s">
        <v>291</v>
      </c>
      <c r="J127" t="s">
        <v>313</v>
      </c>
      <c r="K127" s="9">
        <v>43588</v>
      </c>
      <c r="L127" s="10">
        <v>0.4236111111111111</v>
      </c>
      <c r="M127" t="s">
        <v>314</v>
      </c>
      <c r="N127" t="s">
        <v>315</v>
      </c>
      <c r="O127" t="s">
        <v>22</v>
      </c>
    </row>
    <row r="128" spans="1:15" hidden="1">
      <c r="A128" t="s">
        <v>15</v>
      </c>
      <c r="B128" t="str">
        <f>"FES1162687665"</f>
        <v>FES1162687665</v>
      </c>
      <c r="C128" s="9">
        <v>43587</v>
      </c>
      <c r="D128">
        <v>1</v>
      </c>
      <c r="E128">
        <v>2170684767</v>
      </c>
      <c r="F128" t="s">
        <v>16</v>
      </c>
      <c r="G128" t="s">
        <v>17</v>
      </c>
      <c r="H128" t="s">
        <v>290</v>
      </c>
      <c r="I128" t="s">
        <v>316</v>
      </c>
      <c r="J128" t="s">
        <v>317</v>
      </c>
      <c r="K128" s="9">
        <v>43588</v>
      </c>
      <c r="L128" s="10">
        <v>0.58333333333333337</v>
      </c>
      <c r="M128" t="s">
        <v>318</v>
      </c>
      <c r="N128" t="s">
        <v>319</v>
      </c>
      <c r="O128" t="s">
        <v>22</v>
      </c>
    </row>
    <row r="129" spans="1:15" hidden="1">
      <c r="A129" t="s">
        <v>15</v>
      </c>
      <c r="B129" t="str">
        <f>"FES1162687586"</f>
        <v>FES1162687586</v>
      </c>
      <c r="C129" s="9">
        <v>43587</v>
      </c>
      <c r="D129">
        <v>1</v>
      </c>
      <c r="E129">
        <v>2170686256</v>
      </c>
      <c r="F129" t="s">
        <v>16</v>
      </c>
      <c r="G129" t="s">
        <v>17</v>
      </c>
      <c r="H129" t="s">
        <v>290</v>
      </c>
      <c r="I129" t="s">
        <v>316</v>
      </c>
      <c r="J129" t="s">
        <v>284</v>
      </c>
      <c r="K129" s="9">
        <v>43588</v>
      </c>
      <c r="L129" s="10">
        <v>0.50902777777777775</v>
      </c>
      <c r="M129" t="s">
        <v>320</v>
      </c>
      <c r="N129" t="s">
        <v>321</v>
      </c>
      <c r="O129" t="s">
        <v>22</v>
      </c>
    </row>
    <row r="130" spans="1:15" hidden="1">
      <c r="A130" t="s">
        <v>15</v>
      </c>
      <c r="B130" t="str">
        <f>"FES1162687747"</f>
        <v>FES1162687747</v>
      </c>
      <c r="C130" s="9">
        <v>43587</v>
      </c>
      <c r="D130">
        <v>1</v>
      </c>
      <c r="E130">
        <v>2170686596</v>
      </c>
      <c r="F130" t="s">
        <v>16</v>
      </c>
      <c r="G130" t="s">
        <v>17</v>
      </c>
      <c r="H130" t="s">
        <v>322</v>
      </c>
      <c r="I130" t="s">
        <v>323</v>
      </c>
      <c r="J130" t="s">
        <v>324</v>
      </c>
      <c r="K130" s="9">
        <v>43588</v>
      </c>
      <c r="L130" s="10">
        <v>0.58333333333333337</v>
      </c>
      <c r="M130" t="s">
        <v>325</v>
      </c>
      <c r="N130" t="s">
        <v>326</v>
      </c>
      <c r="O130" t="s">
        <v>22</v>
      </c>
    </row>
    <row r="131" spans="1:15" hidden="1">
      <c r="A131" t="s">
        <v>15</v>
      </c>
      <c r="B131" t="str">
        <f>"FES1162687585"</f>
        <v>FES1162687585</v>
      </c>
      <c r="C131" s="9">
        <v>43587</v>
      </c>
      <c r="D131">
        <v>1</v>
      </c>
      <c r="E131">
        <v>2170686242</v>
      </c>
      <c r="F131" t="s">
        <v>16</v>
      </c>
      <c r="G131" t="s">
        <v>17</v>
      </c>
      <c r="H131" t="s">
        <v>290</v>
      </c>
      <c r="I131" t="s">
        <v>316</v>
      </c>
      <c r="J131" t="s">
        <v>317</v>
      </c>
      <c r="K131" s="9">
        <v>43588</v>
      </c>
      <c r="L131" s="10">
        <v>0.58333333333333337</v>
      </c>
      <c r="M131" t="s">
        <v>318</v>
      </c>
      <c r="N131" t="s">
        <v>327</v>
      </c>
      <c r="O131" t="s">
        <v>22</v>
      </c>
    </row>
    <row r="132" spans="1:15" hidden="1">
      <c r="A132" t="s">
        <v>15</v>
      </c>
      <c r="B132" t="str">
        <f>"FES1162687602"</f>
        <v>FES1162687602</v>
      </c>
      <c r="C132" s="9">
        <v>43587</v>
      </c>
      <c r="D132">
        <v>1</v>
      </c>
      <c r="E132">
        <v>2170686368</v>
      </c>
      <c r="F132" t="s">
        <v>16</v>
      </c>
      <c r="G132" t="s">
        <v>17</v>
      </c>
      <c r="H132" t="s">
        <v>290</v>
      </c>
      <c r="I132" t="s">
        <v>309</v>
      </c>
      <c r="J132" t="s">
        <v>328</v>
      </c>
      <c r="K132" s="9">
        <v>43588</v>
      </c>
      <c r="L132" s="10">
        <v>0.40972222222222227</v>
      </c>
      <c r="M132" t="s">
        <v>329</v>
      </c>
      <c r="N132" t="s">
        <v>330</v>
      </c>
      <c r="O132" t="s">
        <v>22</v>
      </c>
    </row>
    <row r="133" spans="1:15" hidden="1">
      <c r="A133" t="s">
        <v>15</v>
      </c>
      <c r="B133" t="str">
        <f>"FES1162687535"</f>
        <v>FES1162687535</v>
      </c>
      <c r="C133" s="9">
        <v>43587</v>
      </c>
      <c r="D133">
        <v>1</v>
      </c>
      <c r="E133">
        <v>2170684893</v>
      </c>
      <c r="F133" t="s">
        <v>16</v>
      </c>
      <c r="G133" t="s">
        <v>17</v>
      </c>
      <c r="H133" t="s">
        <v>290</v>
      </c>
      <c r="I133" t="s">
        <v>309</v>
      </c>
      <c r="J133" t="s">
        <v>331</v>
      </c>
      <c r="K133" s="9">
        <v>43588</v>
      </c>
      <c r="L133" s="10">
        <v>0.39305555555555555</v>
      </c>
      <c r="M133" t="s">
        <v>332</v>
      </c>
      <c r="N133" t="s">
        <v>333</v>
      </c>
      <c r="O133" t="s">
        <v>22</v>
      </c>
    </row>
    <row r="134" spans="1:15" hidden="1">
      <c r="A134" t="s">
        <v>15</v>
      </c>
      <c r="B134" t="str">
        <f>"FES1162687567"</f>
        <v>FES1162687567</v>
      </c>
      <c r="C134" s="9">
        <v>43587</v>
      </c>
      <c r="D134">
        <v>1</v>
      </c>
      <c r="E134">
        <v>217068945</v>
      </c>
      <c r="F134" t="s">
        <v>16</v>
      </c>
      <c r="G134" t="s">
        <v>17</v>
      </c>
      <c r="H134" t="s">
        <v>43</v>
      </c>
      <c r="I134" t="s">
        <v>44</v>
      </c>
      <c r="J134" t="s">
        <v>207</v>
      </c>
      <c r="K134" s="9">
        <v>43588</v>
      </c>
      <c r="L134" s="10">
        <v>0.41666666666666669</v>
      </c>
      <c r="M134" t="s">
        <v>208</v>
      </c>
      <c r="N134" t="s">
        <v>334</v>
      </c>
      <c r="O134" t="s">
        <v>22</v>
      </c>
    </row>
    <row r="135" spans="1:15">
      <c r="A135" s="6" t="s">
        <v>15</v>
      </c>
      <c r="B135" s="6" t="str">
        <f>"FES1162687756"</f>
        <v>FES1162687756</v>
      </c>
      <c r="C135" s="7">
        <v>43587</v>
      </c>
      <c r="D135" s="6">
        <v>1</v>
      </c>
      <c r="E135" s="6">
        <v>2170686607</v>
      </c>
      <c r="F135" s="6" t="s">
        <v>16</v>
      </c>
      <c r="G135" s="6" t="s">
        <v>17</v>
      </c>
      <c r="H135" s="6" t="s">
        <v>17</v>
      </c>
      <c r="I135" s="6" t="s">
        <v>18</v>
      </c>
      <c r="J135" s="6" t="s">
        <v>335</v>
      </c>
      <c r="K135" s="7">
        <v>43588</v>
      </c>
      <c r="L135" s="8">
        <v>0.33333333333333331</v>
      </c>
      <c r="M135" s="6" t="s">
        <v>100</v>
      </c>
      <c r="N135" s="6" t="s">
        <v>21</v>
      </c>
      <c r="O135" s="6" t="s">
        <v>22</v>
      </c>
    </row>
    <row r="136" spans="1:15" hidden="1">
      <c r="A136" t="s">
        <v>15</v>
      </c>
      <c r="B136" t="str">
        <f>"FES1162687463"</f>
        <v>FES1162687463</v>
      </c>
      <c r="C136" s="9">
        <v>43587</v>
      </c>
      <c r="D136">
        <v>1</v>
      </c>
      <c r="E136">
        <v>217068490</v>
      </c>
      <c r="F136" t="s">
        <v>16</v>
      </c>
      <c r="G136" t="s">
        <v>17</v>
      </c>
      <c r="H136" t="s">
        <v>43</v>
      </c>
      <c r="I136" t="s">
        <v>44</v>
      </c>
      <c r="J136" t="s">
        <v>336</v>
      </c>
      <c r="K136" s="9">
        <v>43588</v>
      </c>
      <c r="L136" s="10">
        <v>0.41666666666666669</v>
      </c>
      <c r="M136" t="s">
        <v>337</v>
      </c>
      <c r="N136" t="s">
        <v>338</v>
      </c>
      <c r="O136" t="s">
        <v>22</v>
      </c>
    </row>
    <row r="137" spans="1:15" hidden="1">
      <c r="A137" t="s">
        <v>15</v>
      </c>
      <c r="B137" t="str">
        <f>"FES1162687617"</f>
        <v>FES1162687617</v>
      </c>
      <c r="C137" s="9">
        <v>43587</v>
      </c>
      <c r="D137">
        <v>1</v>
      </c>
      <c r="E137">
        <v>2170686470</v>
      </c>
      <c r="F137" t="s">
        <v>16</v>
      </c>
      <c r="G137" t="s">
        <v>17</v>
      </c>
      <c r="H137" t="s">
        <v>32</v>
      </c>
      <c r="I137" t="s">
        <v>33</v>
      </c>
      <c r="J137" t="s">
        <v>339</v>
      </c>
      <c r="K137" s="9">
        <v>43588</v>
      </c>
      <c r="L137" s="10">
        <v>0.38541666666666669</v>
      </c>
      <c r="M137" t="s">
        <v>340</v>
      </c>
      <c r="N137" t="s">
        <v>341</v>
      </c>
      <c r="O137" t="s">
        <v>22</v>
      </c>
    </row>
    <row r="138" spans="1:15" hidden="1">
      <c r="A138" t="s">
        <v>15</v>
      </c>
      <c r="B138" t="str">
        <f>"FES1162687549"</f>
        <v>FES1162687549</v>
      </c>
      <c r="C138" s="9">
        <v>43587</v>
      </c>
      <c r="D138">
        <v>1</v>
      </c>
      <c r="E138">
        <v>2170685288</v>
      </c>
      <c r="F138" t="s">
        <v>16</v>
      </c>
      <c r="G138" t="s">
        <v>17</v>
      </c>
      <c r="H138" t="s">
        <v>32</v>
      </c>
      <c r="I138" t="s">
        <v>342</v>
      </c>
      <c r="J138" t="s">
        <v>343</v>
      </c>
      <c r="K138" s="9">
        <v>43588</v>
      </c>
      <c r="L138" s="10">
        <v>0.3888888888888889</v>
      </c>
      <c r="M138" t="s">
        <v>344</v>
      </c>
      <c r="N138" t="s">
        <v>345</v>
      </c>
      <c r="O138" t="s">
        <v>22</v>
      </c>
    </row>
    <row r="139" spans="1:15" hidden="1">
      <c r="A139" t="s">
        <v>15</v>
      </c>
      <c r="B139" t="str">
        <f>"FES1162687559"</f>
        <v>FES1162687559</v>
      </c>
      <c r="C139" s="9">
        <v>43587</v>
      </c>
      <c r="D139">
        <v>1</v>
      </c>
      <c r="E139">
        <v>2170685660</v>
      </c>
      <c r="F139" t="s">
        <v>16</v>
      </c>
      <c r="G139" t="s">
        <v>17</v>
      </c>
      <c r="H139" t="s">
        <v>32</v>
      </c>
      <c r="I139" t="s">
        <v>342</v>
      </c>
      <c r="J139" t="s">
        <v>346</v>
      </c>
      <c r="K139" s="9">
        <v>43588</v>
      </c>
      <c r="L139" s="10">
        <v>0.3666666666666667</v>
      </c>
      <c r="M139" t="s">
        <v>347</v>
      </c>
      <c r="N139" t="s">
        <v>348</v>
      </c>
      <c r="O139" t="s">
        <v>22</v>
      </c>
    </row>
    <row r="140" spans="1:15" hidden="1">
      <c r="A140" t="s">
        <v>15</v>
      </c>
      <c r="B140" t="str">
        <f>"FES1162687624"</f>
        <v>FES1162687624</v>
      </c>
      <c r="C140" s="9">
        <v>43587</v>
      </c>
      <c r="D140">
        <v>1</v>
      </c>
      <c r="E140">
        <v>21706865254</v>
      </c>
      <c r="F140" t="s">
        <v>16</v>
      </c>
      <c r="G140" t="s">
        <v>17</v>
      </c>
      <c r="H140" t="s">
        <v>37</v>
      </c>
      <c r="I140" t="s">
        <v>38</v>
      </c>
      <c r="J140" t="s">
        <v>349</v>
      </c>
      <c r="K140" s="9">
        <v>43588</v>
      </c>
      <c r="L140" s="10">
        <v>0.41666666666666669</v>
      </c>
      <c r="M140" t="s">
        <v>350</v>
      </c>
      <c r="N140" t="s">
        <v>351</v>
      </c>
      <c r="O140" t="s">
        <v>22</v>
      </c>
    </row>
    <row r="141" spans="1:15" hidden="1">
      <c r="A141" t="s">
        <v>15</v>
      </c>
      <c r="B141" t="str">
        <f>"FES1162687628"</f>
        <v>FES1162687628</v>
      </c>
      <c r="C141" s="9">
        <v>43587</v>
      </c>
      <c r="D141">
        <v>1</v>
      </c>
      <c r="E141">
        <v>2170686530</v>
      </c>
      <c r="F141" t="s">
        <v>16</v>
      </c>
      <c r="G141" t="s">
        <v>17</v>
      </c>
      <c r="H141" t="s">
        <v>37</v>
      </c>
      <c r="I141" t="s">
        <v>38</v>
      </c>
      <c r="J141" t="s">
        <v>349</v>
      </c>
      <c r="K141" s="9">
        <v>43588</v>
      </c>
      <c r="L141" s="10">
        <v>0.43611111111111112</v>
      </c>
      <c r="M141" t="s">
        <v>350</v>
      </c>
      <c r="N141" t="s">
        <v>352</v>
      </c>
      <c r="O141" t="s">
        <v>22</v>
      </c>
    </row>
    <row r="142" spans="1:15" hidden="1">
      <c r="A142" t="s">
        <v>15</v>
      </c>
      <c r="B142" t="str">
        <f>"FES1162687680"</f>
        <v>FES1162687680</v>
      </c>
      <c r="C142" s="9">
        <v>43587</v>
      </c>
      <c r="D142">
        <v>1</v>
      </c>
      <c r="E142">
        <v>2170684078</v>
      </c>
      <c r="F142" t="s">
        <v>16</v>
      </c>
      <c r="G142" t="s">
        <v>17</v>
      </c>
      <c r="H142" t="s">
        <v>37</v>
      </c>
      <c r="I142" t="s">
        <v>38</v>
      </c>
      <c r="J142" t="s">
        <v>353</v>
      </c>
      <c r="K142" s="9">
        <v>43588</v>
      </c>
      <c r="L142" s="10">
        <v>0.41666666666666669</v>
      </c>
      <c r="M142" t="s">
        <v>354</v>
      </c>
      <c r="N142" t="s">
        <v>355</v>
      </c>
      <c r="O142" t="s">
        <v>22</v>
      </c>
    </row>
    <row r="143" spans="1:15" hidden="1">
      <c r="A143" t="s">
        <v>15</v>
      </c>
      <c r="B143" t="str">
        <f>"FES1162687591"</f>
        <v>FES1162687591</v>
      </c>
      <c r="C143" s="9">
        <v>43587</v>
      </c>
      <c r="D143">
        <v>1</v>
      </c>
      <c r="E143">
        <v>2170686303</v>
      </c>
      <c r="F143" t="s">
        <v>16</v>
      </c>
      <c r="G143" t="s">
        <v>17</v>
      </c>
      <c r="H143" t="s">
        <v>32</v>
      </c>
      <c r="I143" t="s">
        <v>33</v>
      </c>
      <c r="J143" t="s">
        <v>34</v>
      </c>
      <c r="K143" s="9">
        <v>43588</v>
      </c>
      <c r="L143" s="10">
        <v>0.36319444444444443</v>
      </c>
      <c r="M143" t="s">
        <v>35</v>
      </c>
      <c r="N143" t="s">
        <v>356</v>
      </c>
      <c r="O143" t="s">
        <v>22</v>
      </c>
    </row>
    <row r="144" spans="1:15" hidden="1">
      <c r="A144" t="s">
        <v>15</v>
      </c>
      <c r="B144" t="str">
        <f>"FES1162687695"</f>
        <v>FES1162687695</v>
      </c>
      <c r="C144" s="9">
        <v>43587</v>
      </c>
      <c r="D144">
        <v>1</v>
      </c>
      <c r="E144">
        <v>2170684340</v>
      </c>
      <c r="F144" t="s">
        <v>16</v>
      </c>
      <c r="G144" t="s">
        <v>17</v>
      </c>
      <c r="H144" t="s">
        <v>32</v>
      </c>
      <c r="I144" t="s">
        <v>33</v>
      </c>
      <c r="J144" t="s">
        <v>357</v>
      </c>
      <c r="K144" s="9">
        <v>43588</v>
      </c>
      <c r="L144" s="10">
        <v>0.37152777777777773</v>
      </c>
      <c r="M144" t="s">
        <v>358</v>
      </c>
      <c r="N144" t="s">
        <v>359</v>
      </c>
      <c r="O144" t="s">
        <v>22</v>
      </c>
    </row>
    <row r="145" spans="1:15" hidden="1">
      <c r="A145" t="s">
        <v>15</v>
      </c>
      <c r="B145" t="str">
        <f>"FES1162687678"</f>
        <v>FES1162687678</v>
      </c>
      <c r="C145" s="9">
        <v>43587</v>
      </c>
      <c r="D145">
        <v>1</v>
      </c>
      <c r="E145">
        <v>2170684038</v>
      </c>
      <c r="F145" t="s">
        <v>16</v>
      </c>
      <c r="G145" t="s">
        <v>17</v>
      </c>
      <c r="H145" t="s">
        <v>32</v>
      </c>
      <c r="I145" t="s">
        <v>33</v>
      </c>
      <c r="J145" t="s">
        <v>360</v>
      </c>
      <c r="K145" s="9">
        <v>43588</v>
      </c>
      <c r="L145" s="10">
        <v>0.38541666666666669</v>
      </c>
      <c r="M145" t="s">
        <v>361</v>
      </c>
      <c r="N145" t="s">
        <v>362</v>
      </c>
      <c r="O145" t="s">
        <v>22</v>
      </c>
    </row>
    <row r="146" spans="1:15" hidden="1">
      <c r="A146" t="s">
        <v>15</v>
      </c>
      <c r="B146" t="str">
        <f>"FES1162687595"</f>
        <v>FES1162687595</v>
      </c>
      <c r="C146" s="9">
        <v>43587</v>
      </c>
      <c r="D146">
        <v>1</v>
      </c>
      <c r="E146">
        <v>2170686327</v>
      </c>
      <c r="F146" t="s">
        <v>16</v>
      </c>
      <c r="G146" t="s">
        <v>17</v>
      </c>
      <c r="H146" t="s">
        <v>43</v>
      </c>
      <c r="I146" t="s">
        <v>44</v>
      </c>
      <c r="J146" t="s">
        <v>207</v>
      </c>
      <c r="K146" s="9">
        <v>43588</v>
      </c>
      <c r="L146" s="10">
        <v>0.41666666666666669</v>
      </c>
      <c r="M146" t="s">
        <v>208</v>
      </c>
      <c r="N146" t="s">
        <v>363</v>
      </c>
      <c r="O146" t="s">
        <v>22</v>
      </c>
    </row>
    <row r="147" spans="1:15" hidden="1">
      <c r="A147" t="s">
        <v>15</v>
      </c>
      <c r="B147" t="str">
        <f>"FES1162687456"</f>
        <v>FES1162687456</v>
      </c>
      <c r="C147" s="9">
        <v>43587</v>
      </c>
      <c r="D147">
        <v>1</v>
      </c>
      <c r="E147">
        <v>2170686260</v>
      </c>
      <c r="F147" t="s">
        <v>16</v>
      </c>
      <c r="G147" t="s">
        <v>17</v>
      </c>
      <c r="H147" t="s">
        <v>32</v>
      </c>
      <c r="I147" t="s">
        <v>33</v>
      </c>
      <c r="J147" t="s">
        <v>360</v>
      </c>
      <c r="K147" s="9">
        <v>43588</v>
      </c>
      <c r="L147" s="10">
        <v>0.38541666666666669</v>
      </c>
      <c r="M147" t="s">
        <v>361</v>
      </c>
      <c r="N147" t="s">
        <v>364</v>
      </c>
      <c r="O147" t="s">
        <v>22</v>
      </c>
    </row>
    <row r="148" spans="1:15" hidden="1">
      <c r="A148" t="s">
        <v>15</v>
      </c>
      <c r="B148" t="str">
        <f>"FES1162687738"</f>
        <v>FES1162687738</v>
      </c>
      <c r="C148" s="9">
        <v>43587</v>
      </c>
      <c r="D148">
        <v>1</v>
      </c>
      <c r="E148">
        <v>2170686588</v>
      </c>
      <c r="F148" t="s">
        <v>16</v>
      </c>
      <c r="G148" t="s">
        <v>17</v>
      </c>
      <c r="H148" t="s">
        <v>32</v>
      </c>
      <c r="I148" t="s">
        <v>33</v>
      </c>
      <c r="J148" t="s">
        <v>365</v>
      </c>
      <c r="K148" s="9">
        <v>43588</v>
      </c>
      <c r="L148" s="10">
        <v>0.3923611111111111</v>
      </c>
      <c r="M148" t="s">
        <v>366</v>
      </c>
      <c r="N148" t="s">
        <v>367</v>
      </c>
      <c r="O148" t="s">
        <v>22</v>
      </c>
    </row>
    <row r="149" spans="1:15" hidden="1">
      <c r="A149" t="s">
        <v>15</v>
      </c>
      <c r="B149" t="str">
        <f>"FES1162687742"</f>
        <v>FES1162687742</v>
      </c>
      <c r="C149" s="9">
        <v>43587</v>
      </c>
      <c r="D149">
        <v>1</v>
      </c>
      <c r="E149">
        <v>2170686591</v>
      </c>
      <c r="F149" t="s">
        <v>16</v>
      </c>
      <c r="G149" t="s">
        <v>17</v>
      </c>
      <c r="H149" t="s">
        <v>32</v>
      </c>
      <c r="I149" t="s">
        <v>33</v>
      </c>
      <c r="J149" t="s">
        <v>365</v>
      </c>
      <c r="K149" s="9">
        <v>43588</v>
      </c>
      <c r="L149" s="10">
        <v>0.3923611111111111</v>
      </c>
      <c r="M149" t="s">
        <v>366</v>
      </c>
      <c r="N149" t="s">
        <v>368</v>
      </c>
      <c r="O149" t="s">
        <v>22</v>
      </c>
    </row>
    <row r="150" spans="1:15" hidden="1">
      <c r="A150" t="s">
        <v>15</v>
      </c>
      <c r="B150" t="str">
        <f>"FES1162687736"</f>
        <v>FES1162687736</v>
      </c>
      <c r="C150" s="9">
        <v>43587</v>
      </c>
      <c r="D150">
        <v>1</v>
      </c>
      <c r="E150">
        <v>2170686585</v>
      </c>
      <c r="F150" t="s">
        <v>16</v>
      </c>
      <c r="G150" t="s">
        <v>17</v>
      </c>
      <c r="H150" t="s">
        <v>37</v>
      </c>
      <c r="I150" t="s">
        <v>38</v>
      </c>
      <c r="J150" t="s">
        <v>369</v>
      </c>
      <c r="K150" s="9">
        <v>43588</v>
      </c>
      <c r="L150" s="10">
        <v>0.43472222222222223</v>
      </c>
      <c r="M150" t="s">
        <v>370</v>
      </c>
      <c r="N150" t="s">
        <v>371</v>
      </c>
      <c r="O150" t="s">
        <v>22</v>
      </c>
    </row>
    <row r="151" spans="1:15" hidden="1">
      <c r="A151" t="s">
        <v>15</v>
      </c>
      <c r="B151" t="str">
        <f>"FES1162687557"</f>
        <v>FES1162687557</v>
      </c>
      <c r="C151" s="9">
        <v>43587</v>
      </c>
      <c r="D151">
        <v>1</v>
      </c>
      <c r="E151">
        <v>2170685639</v>
      </c>
      <c r="F151" t="s">
        <v>16</v>
      </c>
      <c r="G151" t="s">
        <v>17</v>
      </c>
      <c r="H151" t="s">
        <v>43</v>
      </c>
      <c r="I151" t="s">
        <v>44</v>
      </c>
      <c r="J151" t="s">
        <v>207</v>
      </c>
      <c r="K151" s="9">
        <v>43588</v>
      </c>
      <c r="L151" s="10">
        <v>0.41666666666666669</v>
      </c>
      <c r="M151" t="s">
        <v>208</v>
      </c>
      <c r="N151" t="s">
        <v>372</v>
      </c>
      <c r="O151" t="s">
        <v>22</v>
      </c>
    </row>
    <row r="152" spans="1:15" hidden="1">
      <c r="A152" t="s">
        <v>15</v>
      </c>
      <c r="B152" t="str">
        <f>"FES1162687594"</f>
        <v>FES1162687594</v>
      </c>
      <c r="C152" s="9">
        <v>43587</v>
      </c>
      <c r="D152">
        <v>2</v>
      </c>
      <c r="E152">
        <v>2170686326</v>
      </c>
      <c r="F152" t="s">
        <v>16</v>
      </c>
      <c r="G152" t="s">
        <v>17</v>
      </c>
      <c r="H152" t="s">
        <v>43</v>
      </c>
      <c r="I152" t="s">
        <v>44</v>
      </c>
      <c r="J152" t="s">
        <v>207</v>
      </c>
      <c r="K152" s="9">
        <v>43588</v>
      </c>
      <c r="L152" s="10">
        <v>0.41666666666666669</v>
      </c>
      <c r="M152" t="s">
        <v>208</v>
      </c>
      <c r="N152" t="s">
        <v>373</v>
      </c>
      <c r="O152" t="s">
        <v>22</v>
      </c>
    </row>
    <row r="153" spans="1:15" hidden="1">
      <c r="A153" t="s">
        <v>15</v>
      </c>
      <c r="B153" t="str">
        <f>"FES1162687701"</f>
        <v>FES1162687701</v>
      </c>
      <c r="C153" s="9">
        <v>43587</v>
      </c>
      <c r="D153">
        <v>1</v>
      </c>
      <c r="E153">
        <v>2170684386</v>
      </c>
      <c r="F153" t="s">
        <v>16</v>
      </c>
      <c r="G153" t="s">
        <v>17</v>
      </c>
      <c r="H153" t="s">
        <v>32</v>
      </c>
      <c r="I153" t="s">
        <v>33</v>
      </c>
      <c r="J153" t="s">
        <v>374</v>
      </c>
      <c r="K153" s="9">
        <v>43588</v>
      </c>
      <c r="L153" s="10">
        <v>0.39583333333333331</v>
      </c>
      <c r="M153" t="s">
        <v>375</v>
      </c>
      <c r="N153" t="s">
        <v>376</v>
      </c>
      <c r="O153" t="s">
        <v>22</v>
      </c>
    </row>
    <row r="154" spans="1:15" hidden="1">
      <c r="A154" t="s">
        <v>15</v>
      </c>
      <c r="B154" t="str">
        <f>"FES1162687608"</f>
        <v>FES1162687608</v>
      </c>
      <c r="C154" s="9">
        <v>43587</v>
      </c>
      <c r="D154">
        <v>1</v>
      </c>
      <c r="E154">
        <v>2170683963</v>
      </c>
      <c r="F154" t="s">
        <v>16</v>
      </c>
      <c r="G154" t="s">
        <v>17</v>
      </c>
      <c r="H154" t="s">
        <v>32</v>
      </c>
      <c r="I154" t="s">
        <v>33</v>
      </c>
      <c r="J154" t="s">
        <v>377</v>
      </c>
      <c r="K154" s="9">
        <v>43588</v>
      </c>
      <c r="L154" s="10">
        <v>0.375</v>
      </c>
      <c r="M154" t="s">
        <v>25</v>
      </c>
      <c r="N154" t="s">
        <v>378</v>
      </c>
      <c r="O154" t="s">
        <v>22</v>
      </c>
    </row>
    <row r="155" spans="1:15" hidden="1">
      <c r="A155" t="s">
        <v>15</v>
      </c>
      <c r="B155" t="str">
        <f>"FES1162687610"</f>
        <v>FES1162687610</v>
      </c>
      <c r="C155" s="9">
        <v>43587</v>
      </c>
      <c r="D155">
        <v>1</v>
      </c>
      <c r="E155">
        <v>2170686417</v>
      </c>
      <c r="F155" t="s">
        <v>16</v>
      </c>
      <c r="G155" t="s">
        <v>17</v>
      </c>
      <c r="H155" t="s">
        <v>32</v>
      </c>
      <c r="I155" t="s">
        <v>33</v>
      </c>
      <c r="J155" t="s">
        <v>34</v>
      </c>
      <c r="K155" s="9">
        <v>43588</v>
      </c>
      <c r="L155" s="10">
        <v>0.36319444444444443</v>
      </c>
      <c r="M155" t="s">
        <v>35</v>
      </c>
      <c r="N155" t="s">
        <v>379</v>
      </c>
      <c r="O155" t="s">
        <v>22</v>
      </c>
    </row>
    <row r="156" spans="1:15" hidden="1">
      <c r="A156" t="s">
        <v>15</v>
      </c>
      <c r="B156" t="str">
        <f>"FES1162687600"</f>
        <v>FES1162687600</v>
      </c>
      <c r="C156" s="9">
        <v>43587</v>
      </c>
      <c r="D156">
        <v>1</v>
      </c>
      <c r="E156">
        <v>2170686361</v>
      </c>
      <c r="F156" t="s">
        <v>16</v>
      </c>
      <c r="G156" t="s">
        <v>17</v>
      </c>
      <c r="H156" t="s">
        <v>32</v>
      </c>
      <c r="I156" t="s">
        <v>342</v>
      </c>
      <c r="J156" t="s">
        <v>380</v>
      </c>
      <c r="K156" s="9">
        <v>43588</v>
      </c>
      <c r="L156" s="10">
        <v>0.42777777777777781</v>
      </c>
      <c r="M156" t="s">
        <v>381</v>
      </c>
      <c r="N156" t="s">
        <v>382</v>
      </c>
      <c r="O156" t="s">
        <v>22</v>
      </c>
    </row>
    <row r="157" spans="1:15" hidden="1">
      <c r="A157" t="s">
        <v>15</v>
      </c>
      <c r="B157" t="str">
        <f>"FES1162687588"</f>
        <v>FES1162687588</v>
      </c>
      <c r="C157" s="9">
        <v>43587</v>
      </c>
      <c r="D157">
        <v>1</v>
      </c>
      <c r="E157">
        <v>2170686294</v>
      </c>
      <c r="F157" t="s">
        <v>16</v>
      </c>
      <c r="G157" t="s">
        <v>17</v>
      </c>
      <c r="H157" t="s">
        <v>32</v>
      </c>
      <c r="I157" t="s">
        <v>33</v>
      </c>
      <c r="J157" t="s">
        <v>34</v>
      </c>
      <c r="K157" s="9">
        <v>43588</v>
      </c>
      <c r="L157" s="10">
        <v>0.36319444444444443</v>
      </c>
      <c r="M157" t="s">
        <v>35</v>
      </c>
      <c r="N157" t="s">
        <v>383</v>
      </c>
      <c r="O157" t="s">
        <v>22</v>
      </c>
    </row>
    <row r="158" spans="1:15" hidden="1">
      <c r="A158" t="s">
        <v>15</v>
      </c>
      <c r="B158" t="str">
        <f>"FES1162687589"</f>
        <v>FES1162687589</v>
      </c>
      <c r="C158" s="9">
        <v>43587</v>
      </c>
      <c r="D158">
        <v>1</v>
      </c>
      <c r="E158">
        <v>2170686295</v>
      </c>
      <c r="F158" t="s">
        <v>16</v>
      </c>
      <c r="G158" t="s">
        <v>17</v>
      </c>
      <c r="H158" t="s">
        <v>32</v>
      </c>
      <c r="I158" t="s">
        <v>33</v>
      </c>
      <c r="J158" t="s">
        <v>34</v>
      </c>
      <c r="K158" s="9">
        <v>43588</v>
      </c>
      <c r="L158" s="10">
        <v>0.36319444444444443</v>
      </c>
      <c r="M158" t="s">
        <v>35</v>
      </c>
      <c r="N158" t="s">
        <v>384</v>
      </c>
      <c r="O158" t="s">
        <v>22</v>
      </c>
    </row>
    <row r="159" spans="1:15" hidden="1">
      <c r="A159" t="s">
        <v>15</v>
      </c>
      <c r="B159" t="str">
        <f>"FES1162687542"</f>
        <v>FES1162687542</v>
      </c>
      <c r="C159" s="9">
        <v>43587</v>
      </c>
      <c r="D159">
        <v>1</v>
      </c>
      <c r="E159">
        <v>2170685004</v>
      </c>
      <c r="F159" t="s">
        <v>16</v>
      </c>
      <c r="G159" t="s">
        <v>17</v>
      </c>
      <c r="H159" t="s">
        <v>32</v>
      </c>
      <c r="I159" t="s">
        <v>33</v>
      </c>
      <c r="J159" t="s">
        <v>34</v>
      </c>
      <c r="K159" s="9">
        <v>43588</v>
      </c>
      <c r="L159" s="10">
        <v>0.36319444444444443</v>
      </c>
      <c r="M159" t="s">
        <v>35</v>
      </c>
      <c r="N159" t="s">
        <v>385</v>
      </c>
      <c r="O159" t="s">
        <v>22</v>
      </c>
    </row>
    <row r="160" spans="1:15" hidden="1">
      <c r="A160" t="s">
        <v>15</v>
      </c>
      <c r="B160" t="str">
        <f>"FES1162687555"</f>
        <v>FES1162687555</v>
      </c>
      <c r="C160" s="9">
        <v>43587</v>
      </c>
      <c r="D160">
        <v>1</v>
      </c>
      <c r="E160">
        <v>2170685627</v>
      </c>
      <c r="F160" t="s">
        <v>16</v>
      </c>
      <c r="G160" t="s">
        <v>17</v>
      </c>
      <c r="H160" t="s">
        <v>32</v>
      </c>
      <c r="I160" t="s">
        <v>33</v>
      </c>
      <c r="J160" t="s">
        <v>34</v>
      </c>
      <c r="K160" s="9">
        <v>43588</v>
      </c>
      <c r="L160" s="10">
        <v>0.36319444444444443</v>
      </c>
      <c r="M160" t="s">
        <v>35</v>
      </c>
      <c r="N160" t="s">
        <v>386</v>
      </c>
      <c r="O160" t="s">
        <v>22</v>
      </c>
    </row>
    <row r="161" spans="1:15" hidden="1">
      <c r="A161" t="s">
        <v>15</v>
      </c>
      <c r="B161" t="str">
        <f>"FES1162687668"</f>
        <v>FES1162687668</v>
      </c>
      <c r="C161" s="9">
        <v>43587</v>
      </c>
      <c r="D161">
        <v>1</v>
      </c>
      <c r="E161">
        <v>2170685205</v>
      </c>
      <c r="F161" t="s">
        <v>16</v>
      </c>
      <c r="G161" t="s">
        <v>17</v>
      </c>
      <c r="H161" t="s">
        <v>37</v>
      </c>
      <c r="I161" t="s">
        <v>38</v>
      </c>
      <c r="J161" t="s">
        <v>387</v>
      </c>
      <c r="K161" s="9">
        <v>43588</v>
      </c>
      <c r="L161" s="10">
        <v>0.4284722222222222</v>
      </c>
      <c r="M161" t="s">
        <v>388</v>
      </c>
      <c r="N161" t="s">
        <v>389</v>
      </c>
      <c r="O161" t="s">
        <v>22</v>
      </c>
    </row>
    <row r="162" spans="1:15" hidden="1">
      <c r="A162" t="s">
        <v>15</v>
      </c>
      <c r="B162" t="str">
        <f>"FES1162687568"</f>
        <v>FES1162687568</v>
      </c>
      <c r="C162" s="9">
        <v>43587</v>
      </c>
      <c r="D162">
        <v>1</v>
      </c>
      <c r="E162">
        <v>2170685959</v>
      </c>
      <c r="F162" t="s">
        <v>16</v>
      </c>
      <c r="G162" t="s">
        <v>17</v>
      </c>
      <c r="H162" t="s">
        <v>43</v>
      </c>
      <c r="I162" t="s">
        <v>44</v>
      </c>
      <c r="J162" t="s">
        <v>207</v>
      </c>
      <c r="K162" s="9">
        <v>43588</v>
      </c>
      <c r="L162" s="10">
        <v>0.41666666666666669</v>
      </c>
      <c r="M162" t="s">
        <v>390</v>
      </c>
      <c r="N162" t="s">
        <v>391</v>
      </c>
      <c r="O162" t="s">
        <v>22</v>
      </c>
    </row>
    <row r="163" spans="1:15" hidden="1">
      <c r="A163" t="s">
        <v>15</v>
      </c>
      <c r="B163" t="str">
        <f>"FES1162687583"</f>
        <v>FES1162687583</v>
      </c>
      <c r="C163" s="9">
        <v>43587</v>
      </c>
      <c r="D163">
        <v>1</v>
      </c>
      <c r="E163">
        <v>2170686229</v>
      </c>
      <c r="F163" t="s">
        <v>16</v>
      </c>
      <c r="G163" t="s">
        <v>17</v>
      </c>
      <c r="H163" t="s">
        <v>43</v>
      </c>
      <c r="I163" t="s">
        <v>75</v>
      </c>
      <c r="J163" t="s">
        <v>222</v>
      </c>
      <c r="K163" s="9">
        <v>43588</v>
      </c>
      <c r="L163" s="10">
        <v>0.48125000000000001</v>
      </c>
      <c r="M163" t="s">
        <v>223</v>
      </c>
      <c r="N163" t="s">
        <v>392</v>
      </c>
      <c r="O163" t="s">
        <v>22</v>
      </c>
    </row>
    <row r="164" spans="1:15" hidden="1">
      <c r="A164" t="s">
        <v>15</v>
      </c>
      <c r="B164" t="str">
        <f>"FES1162687614"</f>
        <v>FES1162687614</v>
      </c>
      <c r="C164" s="9">
        <v>43587</v>
      </c>
      <c r="D164">
        <v>1</v>
      </c>
      <c r="E164">
        <v>2170686452</v>
      </c>
      <c r="F164" t="s">
        <v>16</v>
      </c>
      <c r="G164" t="s">
        <v>17</v>
      </c>
      <c r="H164" t="s">
        <v>43</v>
      </c>
      <c r="I164" t="s">
        <v>44</v>
      </c>
      <c r="J164" t="s">
        <v>393</v>
      </c>
      <c r="K164" s="9">
        <v>43588</v>
      </c>
      <c r="L164" s="10">
        <v>0.38194444444444442</v>
      </c>
      <c r="M164" t="s">
        <v>394</v>
      </c>
      <c r="N164" t="s">
        <v>395</v>
      </c>
      <c r="O164" t="s">
        <v>22</v>
      </c>
    </row>
    <row r="165" spans="1:15" hidden="1">
      <c r="A165" t="s">
        <v>15</v>
      </c>
      <c r="B165" t="str">
        <f>"FES1162687580"</f>
        <v>FES1162687580</v>
      </c>
      <c r="C165" s="9">
        <v>43587</v>
      </c>
      <c r="D165">
        <v>1</v>
      </c>
      <c r="E165">
        <v>2170686178</v>
      </c>
      <c r="F165" t="s">
        <v>16</v>
      </c>
      <c r="G165" t="s">
        <v>17</v>
      </c>
      <c r="H165" t="s">
        <v>43</v>
      </c>
      <c r="I165" t="s">
        <v>75</v>
      </c>
      <c r="J165" t="s">
        <v>396</v>
      </c>
      <c r="K165" s="9">
        <v>43588</v>
      </c>
      <c r="L165" s="10">
        <v>0.46875</v>
      </c>
      <c r="M165" t="s">
        <v>397</v>
      </c>
      <c r="N165" t="s">
        <v>398</v>
      </c>
      <c r="O165" t="s">
        <v>22</v>
      </c>
    </row>
    <row r="166" spans="1:15" hidden="1">
      <c r="A166" t="s">
        <v>15</v>
      </c>
      <c r="B166" t="str">
        <f>"FES1162687686"</f>
        <v>FES1162687686</v>
      </c>
      <c r="C166" s="9">
        <v>43587</v>
      </c>
      <c r="D166">
        <v>1</v>
      </c>
      <c r="E166">
        <v>2170684167</v>
      </c>
      <c r="F166" t="s">
        <v>16</v>
      </c>
      <c r="G166" t="s">
        <v>17</v>
      </c>
      <c r="H166" t="s">
        <v>43</v>
      </c>
      <c r="I166" t="s">
        <v>44</v>
      </c>
      <c r="J166" t="s">
        <v>399</v>
      </c>
      <c r="K166" s="9">
        <v>43588</v>
      </c>
      <c r="L166" s="10">
        <v>0.41666666666666669</v>
      </c>
      <c r="M166" t="s">
        <v>400</v>
      </c>
      <c r="N166" t="s">
        <v>401</v>
      </c>
      <c r="O166" t="s">
        <v>22</v>
      </c>
    </row>
    <row r="167" spans="1:15" hidden="1">
      <c r="A167" t="s">
        <v>15</v>
      </c>
      <c r="B167" t="str">
        <f>"FES1162687677"</f>
        <v>FES1162687677</v>
      </c>
      <c r="C167" s="9">
        <v>43587</v>
      </c>
      <c r="D167">
        <v>1</v>
      </c>
      <c r="E167">
        <v>2170684028</v>
      </c>
      <c r="F167" t="s">
        <v>16</v>
      </c>
      <c r="G167" t="s">
        <v>17</v>
      </c>
      <c r="H167" t="s">
        <v>43</v>
      </c>
      <c r="I167" t="s">
        <v>75</v>
      </c>
      <c r="J167" t="s">
        <v>402</v>
      </c>
      <c r="K167" s="9">
        <v>43588</v>
      </c>
      <c r="L167" s="10">
        <v>0.48402777777777778</v>
      </c>
      <c r="M167" t="s">
        <v>403</v>
      </c>
      <c r="N167" t="s">
        <v>404</v>
      </c>
      <c r="O167" t="s">
        <v>22</v>
      </c>
    </row>
    <row r="168" spans="1:15" hidden="1">
      <c r="A168" t="s">
        <v>15</v>
      </c>
      <c r="B168" t="str">
        <f>"FES1162687696"</f>
        <v>FES1162687696</v>
      </c>
      <c r="C168" s="9">
        <v>43587</v>
      </c>
      <c r="D168">
        <v>1</v>
      </c>
      <c r="E168">
        <v>2170684341</v>
      </c>
      <c r="F168" t="s">
        <v>16</v>
      </c>
      <c r="G168" t="s">
        <v>17</v>
      </c>
      <c r="H168" t="s">
        <v>43</v>
      </c>
      <c r="I168" t="s">
        <v>75</v>
      </c>
      <c r="J168" t="s">
        <v>222</v>
      </c>
      <c r="K168" s="9">
        <v>43588</v>
      </c>
      <c r="L168" s="10">
        <v>0.47430555555555554</v>
      </c>
      <c r="M168" t="s">
        <v>223</v>
      </c>
      <c r="N168" t="s">
        <v>405</v>
      </c>
      <c r="O168" t="s">
        <v>22</v>
      </c>
    </row>
    <row r="169" spans="1:15" hidden="1">
      <c r="A169" t="s">
        <v>15</v>
      </c>
      <c r="B169" t="str">
        <f>"FES1162687706"</f>
        <v>FES1162687706</v>
      </c>
      <c r="C169" s="9">
        <v>43587</v>
      </c>
      <c r="D169">
        <v>1</v>
      </c>
      <c r="E169">
        <v>2170684451</v>
      </c>
      <c r="F169" t="s">
        <v>16</v>
      </c>
      <c r="G169" t="s">
        <v>17</v>
      </c>
      <c r="H169" t="s">
        <v>43</v>
      </c>
      <c r="I169" t="s">
        <v>44</v>
      </c>
      <c r="J169" t="s">
        <v>51</v>
      </c>
      <c r="K169" s="9">
        <v>43588</v>
      </c>
      <c r="L169" s="10">
        <v>0.36249999999999999</v>
      </c>
      <c r="M169" t="s">
        <v>52</v>
      </c>
      <c r="N169" t="s">
        <v>406</v>
      </c>
      <c r="O169" t="s">
        <v>22</v>
      </c>
    </row>
    <row r="170" spans="1:15" hidden="1">
      <c r="A170" t="s">
        <v>15</v>
      </c>
      <c r="B170" t="str">
        <f>"FES1162687688"</f>
        <v>FES1162687688</v>
      </c>
      <c r="C170" s="9">
        <v>43587</v>
      </c>
      <c r="D170">
        <v>1</v>
      </c>
      <c r="E170">
        <v>217064184</v>
      </c>
      <c r="F170" t="s">
        <v>16</v>
      </c>
      <c r="G170" t="s">
        <v>17</v>
      </c>
      <c r="H170" t="s">
        <v>43</v>
      </c>
      <c r="I170" t="s">
        <v>75</v>
      </c>
      <c r="J170" t="s">
        <v>76</v>
      </c>
      <c r="K170" s="9">
        <v>43588</v>
      </c>
      <c r="L170" s="10">
        <v>0.5</v>
      </c>
      <c r="M170" t="s">
        <v>77</v>
      </c>
      <c r="N170" t="s">
        <v>407</v>
      </c>
      <c r="O170" t="s">
        <v>22</v>
      </c>
    </row>
    <row r="171" spans="1:15">
      <c r="A171" s="6" t="s">
        <v>15</v>
      </c>
      <c r="B171" s="6" t="str">
        <f>"FES1162687657"</f>
        <v>FES1162687657</v>
      </c>
      <c r="C171" s="7">
        <v>43587</v>
      </c>
      <c r="D171" s="6">
        <v>1</v>
      </c>
      <c r="E171" s="6">
        <v>2170684430</v>
      </c>
      <c r="F171" s="6" t="s">
        <v>16</v>
      </c>
      <c r="G171" s="6" t="s">
        <v>17</v>
      </c>
      <c r="H171" s="6" t="s">
        <v>17</v>
      </c>
      <c r="I171" s="6" t="s">
        <v>64</v>
      </c>
      <c r="J171" s="6" t="s">
        <v>98</v>
      </c>
      <c r="K171" s="7">
        <v>43588</v>
      </c>
      <c r="L171" s="8">
        <v>0.33333333333333331</v>
      </c>
      <c r="M171" s="6" t="s">
        <v>99</v>
      </c>
      <c r="N171" s="6" t="s">
        <v>21</v>
      </c>
      <c r="O171" s="6" t="s">
        <v>22</v>
      </c>
    </row>
    <row r="172" spans="1:15">
      <c r="A172" s="6" t="s">
        <v>15</v>
      </c>
      <c r="B172" s="6" t="str">
        <f>"FES1162687703"</f>
        <v>FES1162687703</v>
      </c>
      <c r="C172" s="7">
        <v>43587</v>
      </c>
      <c r="D172" s="6">
        <v>1</v>
      </c>
      <c r="E172" s="6">
        <v>2170684403</v>
      </c>
      <c r="F172" s="6" t="s">
        <v>16</v>
      </c>
      <c r="G172" s="6" t="s">
        <v>17</v>
      </c>
      <c r="H172" s="6" t="s">
        <v>17</v>
      </c>
      <c r="I172" s="6" t="s">
        <v>18</v>
      </c>
      <c r="J172" s="6" t="s">
        <v>408</v>
      </c>
      <c r="K172" s="7">
        <v>43588</v>
      </c>
      <c r="L172" s="8">
        <v>0.33333333333333331</v>
      </c>
      <c r="M172" s="6" t="s">
        <v>100</v>
      </c>
      <c r="N172" s="6" t="s">
        <v>21</v>
      </c>
      <c r="O172" s="6" t="s">
        <v>22</v>
      </c>
    </row>
    <row r="173" spans="1:15" hidden="1">
      <c r="A173" t="s">
        <v>15</v>
      </c>
      <c r="B173" t="str">
        <f>"FES1162687689"</f>
        <v>FES1162687689</v>
      </c>
      <c r="C173" s="9">
        <v>43587</v>
      </c>
      <c r="D173">
        <v>1</v>
      </c>
      <c r="E173">
        <v>2170684197</v>
      </c>
      <c r="F173" t="s">
        <v>16</v>
      </c>
      <c r="G173" t="s">
        <v>17</v>
      </c>
      <c r="H173" t="s">
        <v>43</v>
      </c>
      <c r="I173" t="s">
        <v>60</v>
      </c>
      <c r="J173" t="s">
        <v>409</v>
      </c>
      <c r="K173" s="9">
        <v>43591</v>
      </c>
      <c r="L173" s="10">
        <v>0.54791666666666672</v>
      </c>
      <c r="M173" t="s">
        <v>410</v>
      </c>
      <c r="N173" t="s">
        <v>411</v>
      </c>
      <c r="O173" t="s">
        <v>22</v>
      </c>
    </row>
    <row r="174" spans="1:15">
      <c r="A174" s="6" t="s">
        <v>15</v>
      </c>
      <c r="B174" s="6" t="str">
        <f>"FES1162687661"</f>
        <v>FES1162687661</v>
      </c>
      <c r="C174" s="7">
        <v>43587</v>
      </c>
      <c r="D174" s="6">
        <v>1</v>
      </c>
      <c r="E174" s="6">
        <v>217068431</v>
      </c>
      <c r="F174" s="6" t="s">
        <v>16</v>
      </c>
      <c r="G174" s="6" t="s">
        <v>17</v>
      </c>
      <c r="H174" s="6" t="s">
        <v>17</v>
      </c>
      <c r="I174" s="6" t="s">
        <v>18</v>
      </c>
      <c r="J174" s="6" t="s">
        <v>412</v>
      </c>
      <c r="K174" s="7">
        <v>43588</v>
      </c>
      <c r="L174" s="8">
        <v>0.33333333333333331</v>
      </c>
      <c r="M174" s="6" t="s">
        <v>413</v>
      </c>
      <c r="N174" s="6" t="s">
        <v>21</v>
      </c>
      <c r="O174" s="6" t="s">
        <v>22</v>
      </c>
    </row>
    <row r="175" spans="1:15">
      <c r="A175" s="6" t="s">
        <v>15</v>
      </c>
      <c r="B175" s="6" t="str">
        <f>"FES1162687698"</f>
        <v>FES1162687698</v>
      </c>
      <c r="C175" s="7">
        <v>43587</v>
      </c>
      <c r="D175" s="6">
        <v>1</v>
      </c>
      <c r="E175" s="6">
        <v>2170684351</v>
      </c>
      <c r="F175" s="6" t="s">
        <v>16</v>
      </c>
      <c r="G175" s="6" t="s">
        <v>17</v>
      </c>
      <c r="H175" s="6" t="s">
        <v>17</v>
      </c>
      <c r="I175" s="6" t="s">
        <v>18</v>
      </c>
      <c r="J175" s="6" t="s">
        <v>19</v>
      </c>
      <c r="K175" s="7">
        <v>43591</v>
      </c>
      <c r="L175" s="8">
        <v>0.33333333333333331</v>
      </c>
      <c r="M175" s="6" t="s">
        <v>20</v>
      </c>
      <c r="N175" s="6" t="s">
        <v>21</v>
      </c>
      <c r="O175" s="6" t="s">
        <v>22</v>
      </c>
    </row>
    <row r="176" spans="1:15">
      <c r="A176" s="6" t="s">
        <v>15</v>
      </c>
      <c r="B176" s="6" t="str">
        <f>"FES1162687828"</f>
        <v>FES1162687828</v>
      </c>
      <c r="C176" s="7">
        <v>43587</v>
      </c>
      <c r="D176" s="6">
        <v>1</v>
      </c>
      <c r="E176" s="6">
        <v>2170686695</v>
      </c>
      <c r="F176" s="6" t="s">
        <v>16</v>
      </c>
      <c r="G176" s="6" t="s">
        <v>17</v>
      </c>
      <c r="H176" s="6" t="s">
        <v>17</v>
      </c>
      <c r="I176" s="6" t="s">
        <v>414</v>
      </c>
      <c r="J176" s="6" t="s">
        <v>415</v>
      </c>
      <c r="K176" s="7">
        <v>43588</v>
      </c>
      <c r="L176" s="8">
        <v>0.45208333333333334</v>
      </c>
      <c r="M176" s="6" t="s">
        <v>416</v>
      </c>
      <c r="N176" s="6" t="s">
        <v>21</v>
      </c>
      <c r="O176" s="6" t="s">
        <v>22</v>
      </c>
    </row>
    <row r="177" spans="1:15">
      <c r="A177" s="6" t="s">
        <v>15</v>
      </c>
      <c r="B177" s="6" t="str">
        <f>"FES1162687476"</f>
        <v>FES1162687476</v>
      </c>
      <c r="C177" s="7">
        <v>43587</v>
      </c>
      <c r="D177" s="6">
        <v>1</v>
      </c>
      <c r="E177" s="6">
        <v>2170686507</v>
      </c>
      <c r="F177" s="6" t="s">
        <v>16</v>
      </c>
      <c r="G177" s="6" t="s">
        <v>17</v>
      </c>
      <c r="H177" s="6" t="s">
        <v>17</v>
      </c>
      <c r="I177" s="6" t="s">
        <v>148</v>
      </c>
      <c r="J177" s="6" t="s">
        <v>417</v>
      </c>
      <c r="K177" s="7">
        <v>43588</v>
      </c>
      <c r="L177" s="8">
        <v>0.5</v>
      </c>
      <c r="M177" s="6" t="s">
        <v>418</v>
      </c>
      <c r="N177" s="6" t="s">
        <v>21</v>
      </c>
      <c r="O177" s="6" t="s">
        <v>22</v>
      </c>
    </row>
    <row r="178" spans="1:15">
      <c r="A178" s="6" t="s">
        <v>15</v>
      </c>
      <c r="B178" s="6" t="str">
        <f>"FES1162687564"</f>
        <v>FES1162687564</v>
      </c>
      <c r="C178" s="7">
        <v>43587</v>
      </c>
      <c r="D178" s="6">
        <v>1</v>
      </c>
      <c r="E178" s="6">
        <v>2170685885</v>
      </c>
      <c r="F178" s="6" t="s">
        <v>16</v>
      </c>
      <c r="G178" s="6" t="s">
        <v>17</v>
      </c>
      <c r="H178" s="6" t="s">
        <v>17</v>
      </c>
      <c r="I178" s="6" t="s">
        <v>148</v>
      </c>
      <c r="J178" s="6" t="s">
        <v>419</v>
      </c>
      <c r="K178" s="7">
        <v>43588</v>
      </c>
      <c r="L178" s="8">
        <v>0.5</v>
      </c>
      <c r="M178" s="6" t="s">
        <v>420</v>
      </c>
      <c r="N178" s="6" t="s">
        <v>21</v>
      </c>
      <c r="O178" s="6" t="s">
        <v>22</v>
      </c>
    </row>
    <row r="179" spans="1:15">
      <c r="A179" s="6" t="s">
        <v>15</v>
      </c>
      <c r="B179" s="6" t="str">
        <f>"FES1162687769"</f>
        <v>FES1162687769</v>
      </c>
      <c r="C179" s="7">
        <v>43587</v>
      </c>
      <c r="D179" s="6">
        <v>1</v>
      </c>
      <c r="E179" s="6">
        <v>2170686621</v>
      </c>
      <c r="F179" s="6" t="s">
        <v>16</v>
      </c>
      <c r="G179" s="6" t="s">
        <v>17</v>
      </c>
      <c r="H179" s="6" t="s">
        <v>17</v>
      </c>
      <c r="I179" s="6" t="s">
        <v>421</v>
      </c>
      <c r="J179" s="6" t="s">
        <v>422</v>
      </c>
      <c r="K179" s="7">
        <v>43588</v>
      </c>
      <c r="L179" s="8">
        <v>0.35694444444444445</v>
      </c>
      <c r="M179" s="6" t="s">
        <v>423</v>
      </c>
      <c r="N179" s="6" t="s">
        <v>21</v>
      </c>
      <c r="O179" s="6" t="s">
        <v>22</v>
      </c>
    </row>
    <row r="180" spans="1:15">
      <c r="A180" s="6" t="s">
        <v>15</v>
      </c>
      <c r="B180" s="6" t="str">
        <f>"FES1162687770"</f>
        <v>FES1162687770</v>
      </c>
      <c r="C180" s="7">
        <v>43587</v>
      </c>
      <c r="D180" s="6">
        <v>1</v>
      </c>
      <c r="E180" s="6">
        <v>2170686624</v>
      </c>
      <c r="F180" s="6" t="s">
        <v>16</v>
      </c>
      <c r="G180" s="6" t="s">
        <v>17</v>
      </c>
      <c r="H180" s="6" t="s">
        <v>17</v>
      </c>
      <c r="I180" s="6" t="s">
        <v>64</v>
      </c>
      <c r="J180" s="6" t="s">
        <v>116</v>
      </c>
      <c r="K180" s="7">
        <v>43588</v>
      </c>
      <c r="L180" s="8">
        <v>0.65972222222222221</v>
      </c>
      <c r="M180" s="6" t="s">
        <v>100</v>
      </c>
      <c r="N180" s="6" t="s">
        <v>21</v>
      </c>
      <c r="O180" s="6" t="s">
        <v>22</v>
      </c>
    </row>
    <row r="181" spans="1:15" hidden="1">
      <c r="A181" t="s">
        <v>15</v>
      </c>
      <c r="B181" t="str">
        <f>"FES1162687702"</f>
        <v>FES1162687702</v>
      </c>
      <c r="C181" s="9">
        <v>43587</v>
      </c>
      <c r="D181">
        <v>1</v>
      </c>
      <c r="E181">
        <v>2170684397</v>
      </c>
      <c r="F181" t="s">
        <v>16</v>
      </c>
      <c r="G181" t="s">
        <v>17</v>
      </c>
      <c r="H181" t="s">
        <v>43</v>
      </c>
      <c r="I181" t="s">
        <v>60</v>
      </c>
      <c r="J181" t="s">
        <v>409</v>
      </c>
      <c r="K181" s="9">
        <v>43591</v>
      </c>
      <c r="L181" s="10">
        <v>0.54861111111111105</v>
      </c>
      <c r="M181" t="s">
        <v>410</v>
      </c>
      <c r="N181" t="s">
        <v>424</v>
      </c>
      <c r="O181" t="s">
        <v>22</v>
      </c>
    </row>
    <row r="182" spans="1:15" hidden="1">
      <c r="A182" t="s">
        <v>15</v>
      </c>
      <c r="B182" t="str">
        <f>"FES1162687675"</f>
        <v>FES1162687675</v>
      </c>
      <c r="C182" s="9">
        <v>43587</v>
      </c>
      <c r="D182">
        <v>1</v>
      </c>
      <c r="E182">
        <v>2170683998</v>
      </c>
      <c r="F182" t="s">
        <v>16</v>
      </c>
      <c r="G182" t="s">
        <v>17</v>
      </c>
      <c r="H182" t="s">
        <v>425</v>
      </c>
      <c r="I182" t="s">
        <v>426</v>
      </c>
      <c r="J182" t="s">
        <v>427</v>
      </c>
      <c r="K182" s="9">
        <v>43588</v>
      </c>
      <c r="L182" s="10">
        <v>0.41666666666666669</v>
      </c>
      <c r="M182" t="s">
        <v>428</v>
      </c>
      <c r="N182" t="s">
        <v>429</v>
      </c>
      <c r="O182" t="s">
        <v>22</v>
      </c>
    </row>
    <row r="183" spans="1:15" hidden="1">
      <c r="A183" t="s">
        <v>15</v>
      </c>
      <c r="B183" t="str">
        <f>"FES1162687466"</f>
        <v>FES1162687466</v>
      </c>
      <c r="C183" s="9">
        <v>43587</v>
      </c>
      <c r="D183">
        <v>1</v>
      </c>
      <c r="E183">
        <v>2170686494</v>
      </c>
      <c r="F183" t="s">
        <v>16</v>
      </c>
      <c r="G183" t="s">
        <v>17</v>
      </c>
      <c r="H183" t="s">
        <v>141</v>
      </c>
      <c r="I183" t="s">
        <v>185</v>
      </c>
      <c r="J183" t="s">
        <v>430</v>
      </c>
      <c r="K183" s="9">
        <v>43588</v>
      </c>
      <c r="L183" s="10">
        <v>0.40833333333333338</v>
      </c>
      <c r="M183" t="s">
        <v>431</v>
      </c>
      <c r="N183" t="s">
        <v>432</v>
      </c>
      <c r="O183" t="s">
        <v>22</v>
      </c>
    </row>
    <row r="184" spans="1:15" hidden="1">
      <c r="A184" t="s">
        <v>15</v>
      </c>
      <c r="B184" t="str">
        <f>"FES1162687584"</f>
        <v>FES1162687584</v>
      </c>
      <c r="C184" s="9">
        <v>43587</v>
      </c>
      <c r="D184">
        <v>1</v>
      </c>
      <c r="E184">
        <v>2170686234</v>
      </c>
      <c r="F184" t="s">
        <v>16</v>
      </c>
      <c r="G184" t="s">
        <v>17</v>
      </c>
      <c r="H184" t="s">
        <v>141</v>
      </c>
      <c r="I184" t="s">
        <v>433</v>
      </c>
      <c r="J184" t="s">
        <v>434</v>
      </c>
      <c r="K184" s="9">
        <v>43588</v>
      </c>
      <c r="L184" s="10">
        <v>0.40625</v>
      </c>
      <c r="M184" t="s">
        <v>435</v>
      </c>
      <c r="N184" t="s">
        <v>436</v>
      </c>
      <c r="O184" t="s">
        <v>22</v>
      </c>
    </row>
    <row r="185" spans="1:15" hidden="1">
      <c r="A185" t="s">
        <v>15</v>
      </c>
      <c r="B185" t="str">
        <f>"FES1162687620"</f>
        <v>FES1162687620</v>
      </c>
      <c r="C185" s="9">
        <v>43587</v>
      </c>
      <c r="D185">
        <v>1</v>
      </c>
      <c r="E185">
        <v>2170686508</v>
      </c>
      <c r="F185" t="s">
        <v>16</v>
      </c>
      <c r="G185" t="s">
        <v>17</v>
      </c>
      <c r="H185" t="s">
        <v>132</v>
      </c>
      <c r="I185" t="s">
        <v>133</v>
      </c>
      <c r="J185" t="s">
        <v>437</v>
      </c>
      <c r="K185" s="9">
        <v>43588</v>
      </c>
      <c r="L185" s="10">
        <v>0.42708333333333331</v>
      </c>
      <c r="M185" t="s">
        <v>438</v>
      </c>
      <c r="N185" t="s">
        <v>439</v>
      </c>
      <c r="O185" t="s">
        <v>22</v>
      </c>
    </row>
    <row r="186" spans="1:15" hidden="1">
      <c r="A186" t="s">
        <v>15</v>
      </c>
      <c r="B186" t="str">
        <f>"FES1162687550"</f>
        <v>FES1162687550</v>
      </c>
      <c r="C186" s="9">
        <v>43587</v>
      </c>
      <c r="D186">
        <v>1</v>
      </c>
      <c r="E186">
        <v>21706855555</v>
      </c>
      <c r="F186" t="s">
        <v>16</v>
      </c>
      <c r="G186" t="s">
        <v>17</v>
      </c>
      <c r="H186" t="s">
        <v>440</v>
      </c>
      <c r="I186" t="s">
        <v>441</v>
      </c>
      <c r="J186" t="s">
        <v>317</v>
      </c>
      <c r="K186" s="9">
        <v>43588</v>
      </c>
      <c r="L186" s="10">
        <v>0.39583333333333331</v>
      </c>
      <c r="M186" t="s">
        <v>442</v>
      </c>
      <c r="N186" t="s">
        <v>443</v>
      </c>
      <c r="O186" t="s">
        <v>22</v>
      </c>
    </row>
    <row r="187" spans="1:15" hidden="1">
      <c r="A187" t="s">
        <v>15</v>
      </c>
      <c r="B187" t="str">
        <f>"FES1162687563"</f>
        <v>FES1162687563</v>
      </c>
      <c r="C187" s="9">
        <v>43587</v>
      </c>
      <c r="D187">
        <v>1</v>
      </c>
      <c r="E187">
        <v>2170685823</v>
      </c>
      <c r="F187" t="s">
        <v>16</v>
      </c>
      <c r="G187" t="s">
        <v>17</v>
      </c>
      <c r="H187" t="s">
        <v>440</v>
      </c>
      <c r="I187" t="s">
        <v>441</v>
      </c>
      <c r="J187" t="s">
        <v>317</v>
      </c>
      <c r="K187" s="9">
        <v>43588</v>
      </c>
      <c r="L187" s="10">
        <v>0.39583333333333331</v>
      </c>
      <c r="M187" t="s">
        <v>444</v>
      </c>
      <c r="N187" t="s">
        <v>445</v>
      </c>
      <c r="O187" t="s">
        <v>22</v>
      </c>
    </row>
    <row r="188" spans="1:15" hidden="1">
      <c r="A188" t="s">
        <v>15</v>
      </c>
      <c r="B188" t="str">
        <f>"FES1162687592"</f>
        <v>FES1162687592</v>
      </c>
      <c r="C188" s="9">
        <v>43587</v>
      </c>
      <c r="D188">
        <v>1</v>
      </c>
      <c r="E188">
        <v>2170686305</v>
      </c>
      <c r="F188" t="s">
        <v>16</v>
      </c>
      <c r="G188" t="s">
        <v>17</v>
      </c>
      <c r="H188" t="s">
        <v>132</v>
      </c>
      <c r="I188" t="s">
        <v>137</v>
      </c>
      <c r="J188" t="s">
        <v>138</v>
      </c>
      <c r="K188" s="9">
        <v>43588</v>
      </c>
      <c r="L188" s="10">
        <v>0.4826388888888889</v>
      </c>
      <c r="M188" t="s">
        <v>446</v>
      </c>
      <c r="N188" t="s">
        <v>447</v>
      </c>
      <c r="O188" t="s">
        <v>22</v>
      </c>
    </row>
    <row r="189" spans="1:15" hidden="1">
      <c r="A189" t="s">
        <v>15</v>
      </c>
      <c r="B189" t="str">
        <f>"FES1162687464"</f>
        <v>FES1162687464</v>
      </c>
      <c r="C189" s="9">
        <v>43587</v>
      </c>
      <c r="D189">
        <v>1</v>
      </c>
      <c r="E189">
        <v>2170686491</v>
      </c>
      <c r="F189" t="s">
        <v>16</v>
      </c>
      <c r="G189" t="s">
        <v>17</v>
      </c>
      <c r="H189" t="s">
        <v>141</v>
      </c>
      <c r="I189" t="s">
        <v>448</v>
      </c>
      <c r="J189" t="s">
        <v>449</v>
      </c>
      <c r="K189" s="9">
        <v>43588</v>
      </c>
      <c r="L189" s="10">
        <v>0.40277777777777773</v>
      </c>
      <c r="M189" t="s">
        <v>450</v>
      </c>
      <c r="N189" t="s">
        <v>451</v>
      </c>
      <c r="O189" t="s">
        <v>22</v>
      </c>
    </row>
    <row r="190" spans="1:15" hidden="1">
      <c r="A190" t="s">
        <v>15</v>
      </c>
      <c r="B190" t="str">
        <f>"FES1162687605"</f>
        <v>FES1162687605</v>
      </c>
      <c r="C190" s="9">
        <v>43587</v>
      </c>
      <c r="D190">
        <v>1</v>
      </c>
      <c r="E190">
        <v>2170686392</v>
      </c>
      <c r="F190" t="s">
        <v>16</v>
      </c>
      <c r="G190" t="s">
        <v>17</v>
      </c>
      <c r="H190" t="s">
        <v>141</v>
      </c>
      <c r="I190" t="s">
        <v>185</v>
      </c>
      <c r="J190" t="s">
        <v>452</v>
      </c>
      <c r="K190" s="9">
        <v>43588</v>
      </c>
      <c r="L190" s="10">
        <v>0.42777777777777781</v>
      </c>
      <c r="M190" t="s">
        <v>453</v>
      </c>
      <c r="N190" t="s">
        <v>454</v>
      </c>
      <c r="O190" t="s">
        <v>22</v>
      </c>
    </row>
    <row r="191" spans="1:15" hidden="1">
      <c r="A191" t="s">
        <v>15</v>
      </c>
      <c r="B191" t="str">
        <f>"FES1162687626"</f>
        <v>FES1162687626</v>
      </c>
      <c r="C191" s="9">
        <v>43587</v>
      </c>
      <c r="D191">
        <v>1</v>
      </c>
      <c r="E191">
        <v>21706865256</v>
      </c>
      <c r="F191" t="s">
        <v>16</v>
      </c>
      <c r="G191" t="s">
        <v>17</v>
      </c>
      <c r="H191" t="s">
        <v>141</v>
      </c>
      <c r="I191" t="s">
        <v>142</v>
      </c>
      <c r="J191" t="s">
        <v>455</v>
      </c>
      <c r="K191" s="9">
        <v>43588</v>
      </c>
      <c r="L191" s="10">
        <v>0.36319444444444443</v>
      </c>
      <c r="M191" t="s">
        <v>456</v>
      </c>
      <c r="N191" t="s">
        <v>457</v>
      </c>
      <c r="O191" t="s">
        <v>22</v>
      </c>
    </row>
    <row r="192" spans="1:15" hidden="1">
      <c r="A192" t="s">
        <v>15</v>
      </c>
      <c r="B192" t="str">
        <f>"FES1162687599"</f>
        <v>FES1162687599</v>
      </c>
      <c r="C192" s="9">
        <v>43587</v>
      </c>
      <c r="D192">
        <v>1</v>
      </c>
      <c r="E192">
        <v>2170686357</v>
      </c>
      <c r="F192" t="s">
        <v>16</v>
      </c>
      <c r="G192" t="s">
        <v>17</v>
      </c>
      <c r="H192" t="s">
        <v>141</v>
      </c>
      <c r="I192" t="s">
        <v>458</v>
      </c>
      <c r="J192" t="s">
        <v>459</v>
      </c>
      <c r="K192" s="9">
        <v>43588</v>
      </c>
      <c r="L192" s="10">
        <v>0.36319444444444443</v>
      </c>
      <c r="M192" t="s">
        <v>456</v>
      </c>
      <c r="N192" t="s">
        <v>460</v>
      </c>
      <c r="O192" t="s">
        <v>22</v>
      </c>
    </row>
    <row r="193" spans="1:15" hidden="1">
      <c r="A193" t="s">
        <v>15</v>
      </c>
      <c r="B193" t="str">
        <f>"FES1162687622"</f>
        <v>FES1162687622</v>
      </c>
      <c r="C193" s="9">
        <v>43587</v>
      </c>
      <c r="D193">
        <v>1</v>
      </c>
      <c r="E193">
        <v>2170686519</v>
      </c>
      <c r="F193" t="s">
        <v>16</v>
      </c>
      <c r="G193" t="s">
        <v>17</v>
      </c>
      <c r="H193" t="s">
        <v>141</v>
      </c>
      <c r="I193" t="s">
        <v>185</v>
      </c>
      <c r="J193" t="s">
        <v>461</v>
      </c>
      <c r="K193" s="9">
        <v>43588</v>
      </c>
      <c r="L193" s="10">
        <v>0.4201388888888889</v>
      </c>
      <c r="M193" t="s">
        <v>462</v>
      </c>
      <c r="N193" t="s">
        <v>463</v>
      </c>
      <c r="O193" t="s">
        <v>22</v>
      </c>
    </row>
    <row r="194" spans="1:15" hidden="1">
      <c r="A194" t="s">
        <v>15</v>
      </c>
      <c r="B194" t="str">
        <f>"FES1162687632"</f>
        <v>FES1162687632</v>
      </c>
      <c r="C194" s="9">
        <v>43587</v>
      </c>
      <c r="D194">
        <v>1</v>
      </c>
      <c r="E194">
        <v>2170686538</v>
      </c>
      <c r="F194" t="s">
        <v>16</v>
      </c>
      <c r="G194" t="s">
        <v>17</v>
      </c>
      <c r="H194" t="s">
        <v>141</v>
      </c>
      <c r="I194" t="s">
        <v>464</v>
      </c>
      <c r="J194" t="s">
        <v>465</v>
      </c>
      <c r="K194" s="9">
        <v>43588</v>
      </c>
      <c r="L194" s="10">
        <v>0.39444444444444443</v>
      </c>
      <c r="M194" t="s">
        <v>466</v>
      </c>
      <c r="N194" t="s">
        <v>467</v>
      </c>
      <c r="O194" t="s">
        <v>22</v>
      </c>
    </row>
    <row r="195" spans="1:15" hidden="1">
      <c r="A195" t="s">
        <v>15</v>
      </c>
      <c r="B195" t="str">
        <f>"FES1162687554"</f>
        <v>FES1162687554</v>
      </c>
      <c r="C195" s="9">
        <v>43587</v>
      </c>
      <c r="D195">
        <v>1</v>
      </c>
      <c r="E195">
        <v>2170685624</v>
      </c>
      <c r="F195" t="s">
        <v>16</v>
      </c>
      <c r="G195" t="s">
        <v>17</v>
      </c>
      <c r="H195" t="s">
        <v>132</v>
      </c>
      <c r="I195" t="s">
        <v>137</v>
      </c>
      <c r="J195" t="s">
        <v>138</v>
      </c>
      <c r="K195" s="9">
        <v>43588</v>
      </c>
      <c r="L195" s="10">
        <v>0.4826388888888889</v>
      </c>
      <c r="M195" t="s">
        <v>446</v>
      </c>
      <c r="N195" t="s">
        <v>468</v>
      </c>
      <c r="O195" t="s">
        <v>22</v>
      </c>
    </row>
    <row r="196" spans="1:15" hidden="1">
      <c r="A196" t="s">
        <v>15</v>
      </c>
      <c r="B196" t="str">
        <f>"FES1162687473"</f>
        <v>FES1162687473</v>
      </c>
      <c r="C196" s="9">
        <v>43587</v>
      </c>
      <c r="D196">
        <v>1</v>
      </c>
      <c r="E196">
        <v>217068502</v>
      </c>
      <c r="F196" t="s">
        <v>16</v>
      </c>
      <c r="G196" t="s">
        <v>17</v>
      </c>
      <c r="H196" t="s">
        <v>141</v>
      </c>
      <c r="I196" t="s">
        <v>433</v>
      </c>
      <c r="J196" t="s">
        <v>469</v>
      </c>
      <c r="K196" s="9">
        <v>43588</v>
      </c>
      <c r="L196" s="10">
        <v>0.31944444444444448</v>
      </c>
      <c r="M196" t="s">
        <v>470</v>
      </c>
      <c r="N196" t="s">
        <v>471</v>
      </c>
      <c r="O196" t="s">
        <v>22</v>
      </c>
    </row>
    <row r="197" spans="1:15" hidden="1">
      <c r="A197" t="s">
        <v>15</v>
      </c>
      <c r="B197" t="str">
        <f>"FES1162687561"</f>
        <v>FES1162687561</v>
      </c>
      <c r="C197" s="9">
        <v>43587</v>
      </c>
      <c r="D197">
        <v>1</v>
      </c>
      <c r="E197">
        <v>2170685723</v>
      </c>
      <c r="F197" t="s">
        <v>16</v>
      </c>
      <c r="G197" t="s">
        <v>17</v>
      </c>
      <c r="H197" t="s">
        <v>141</v>
      </c>
      <c r="I197" t="s">
        <v>458</v>
      </c>
      <c r="J197" t="s">
        <v>459</v>
      </c>
      <c r="K197" s="9">
        <v>43588</v>
      </c>
      <c r="L197" s="10">
        <v>0.36319444444444443</v>
      </c>
      <c r="M197" t="s">
        <v>456</v>
      </c>
      <c r="N197" t="s">
        <v>472</v>
      </c>
      <c r="O197" t="s">
        <v>22</v>
      </c>
    </row>
    <row r="198" spans="1:15" hidden="1">
      <c r="A198" t="s">
        <v>15</v>
      </c>
      <c r="B198" t="str">
        <f>"FES1162687616"</f>
        <v>FES1162687616</v>
      </c>
      <c r="C198" s="9">
        <v>43587</v>
      </c>
      <c r="D198">
        <v>1</v>
      </c>
      <c r="E198">
        <v>2170686465</v>
      </c>
      <c r="F198" t="s">
        <v>16</v>
      </c>
      <c r="G198" t="s">
        <v>17</v>
      </c>
      <c r="H198" t="s">
        <v>141</v>
      </c>
      <c r="I198" t="s">
        <v>185</v>
      </c>
      <c r="J198" t="s">
        <v>473</v>
      </c>
      <c r="K198" s="9">
        <v>43588</v>
      </c>
      <c r="L198" s="10">
        <v>0.41319444444444442</v>
      </c>
      <c r="M198" t="s">
        <v>474</v>
      </c>
      <c r="N198" t="s">
        <v>475</v>
      </c>
      <c r="O198" t="s">
        <v>22</v>
      </c>
    </row>
    <row r="199" spans="1:15">
      <c r="A199" s="6" t="s">
        <v>15</v>
      </c>
      <c r="B199" s="6" t="str">
        <f>"RFES1162686952"</f>
        <v>RFES1162686952</v>
      </c>
      <c r="C199" s="7">
        <v>43587</v>
      </c>
      <c r="D199" s="6">
        <v>1</v>
      </c>
      <c r="E199" s="6">
        <v>2170686044</v>
      </c>
      <c r="F199" s="6" t="s">
        <v>16</v>
      </c>
      <c r="G199" s="6" t="s">
        <v>141</v>
      </c>
      <c r="H199" s="6" t="s">
        <v>17</v>
      </c>
      <c r="I199" s="6" t="s">
        <v>64</v>
      </c>
      <c r="J199" s="6" t="s">
        <v>476</v>
      </c>
      <c r="K199" s="7">
        <v>43591</v>
      </c>
      <c r="L199" s="8">
        <v>0.34861111111111115</v>
      </c>
      <c r="M199" s="6" t="s">
        <v>477</v>
      </c>
      <c r="N199" s="6" t="s">
        <v>21</v>
      </c>
      <c r="O199" s="6" t="s">
        <v>22</v>
      </c>
    </row>
    <row r="200" spans="1:15">
      <c r="A200" s="6" t="s">
        <v>15</v>
      </c>
      <c r="B200" s="6" t="str">
        <f>"RFES1162687167"</f>
        <v>RFES1162687167</v>
      </c>
      <c r="C200" s="7">
        <v>43587</v>
      </c>
      <c r="D200" s="6">
        <v>1</v>
      </c>
      <c r="E200" s="6">
        <v>2170679445</v>
      </c>
      <c r="F200" s="6" t="s">
        <v>16</v>
      </c>
      <c r="G200" s="6" t="s">
        <v>17</v>
      </c>
      <c r="H200" s="6" t="s">
        <v>17</v>
      </c>
      <c r="I200" s="6" t="s">
        <v>64</v>
      </c>
      <c r="J200" s="6" t="s">
        <v>476</v>
      </c>
      <c r="K200" s="7">
        <v>43587</v>
      </c>
      <c r="L200" s="8">
        <v>0.33333333333333331</v>
      </c>
      <c r="M200" s="6" t="s">
        <v>478</v>
      </c>
      <c r="N200" s="6" t="s">
        <v>21</v>
      </c>
      <c r="O200" s="6" t="s">
        <v>22</v>
      </c>
    </row>
    <row r="201" spans="1:15">
      <c r="A201" s="6" t="s">
        <v>15</v>
      </c>
      <c r="B201" s="6" t="str">
        <f>"FES1162687757"</f>
        <v>FES1162687757</v>
      </c>
      <c r="C201" s="7">
        <v>43587</v>
      </c>
      <c r="D201" s="6">
        <v>1</v>
      </c>
      <c r="E201" s="6">
        <v>2170686608</v>
      </c>
      <c r="F201" s="6" t="s">
        <v>16</v>
      </c>
      <c r="G201" s="6" t="s">
        <v>17</v>
      </c>
      <c r="H201" s="6" t="s">
        <v>17</v>
      </c>
      <c r="I201" s="6" t="s">
        <v>23</v>
      </c>
      <c r="J201" s="6" t="s">
        <v>479</v>
      </c>
      <c r="K201" s="7">
        <v>43591</v>
      </c>
      <c r="L201" s="8">
        <v>0.4375</v>
      </c>
      <c r="M201" s="6" t="s">
        <v>480</v>
      </c>
      <c r="N201" s="6" t="s">
        <v>21</v>
      </c>
      <c r="O201" s="6" t="s">
        <v>22</v>
      </c>
    </row>
    <row r="202" spans="1:15" hidden="1">
      <c r="A202" t="s">
        <v>15</v>
      </c>
      <c r="B202" t="str">
        <f>"FES1162687510"</f>
        <v>FES1162687510</v>
      </c>
      <c r="C202" s="9">
        <v>43587</v>
      </c>
      <c r="D202">
        <v>2</v>
      </c>
      <c r="E202">
        <v>2170682736</v>
      </c>
      <c r="F202" t="s">
        <v>58</v>
      </c>
      <c r="G202" t="s">
        <v>59</v>
      </c>
      <c r="H202" t="s">
        <v>59</v>
      </c>
      <c r="I202" t="s">
        <v>18</v>
      </c>
      <c r="J202" t="s">
        <v>114</v>
      </c>
      <c r="K202" s="9">
        <v>43591</v>
      </c>
      <c r="L202" s="10">
        <v>0.4597222222222222</v>
      </c>
      <c r="M202" t="s">
        <v>481</v>
      </c>
      <c r="N202" t="s">
        <v>482</v>
      </c>
      <c r="O202" t="s">
        <v>22</v>
      </c>
    </row>
    <row r="203" spans="1:15">
      <c r="A203" s="6" t="s">
        <v>15</v>
      </c>
      <c r="B203" s="6" t="str">
        <f>"FES1162687803"</f>
        <v>FES1162687803</v>
      </c>
      <c r="C203" s="7">
        <v>43587</v>
      </c>
      <c r="D203" s="6">
        <v>1</v>
      </c>
      <c r="E203" s="6">
        <v>2170686665</v>
      </c>
      <c r="F203" s="6" t="s">
        <v>16</v>
      </c>
      <c r="G203" s="6" t="s">
        <v>17</v>
      </c>
      <c r="H203" s="6" t="s">
        <v>17</v>
      </c>
      <c r="I203" s="6" t="s">
        <v>23</v>
      </c>
      <c r="J203" s="6" t="s">
        <v>483</v>
      </c>
      <c r="K203" s="7">
        <v>43588</v>
      </c>
      <c r="L203" s="8">
        <v>0.39583333333333331</v>
      </c>
      <c r="M203" s="6" t="s">
        <v>484</v>
      </c>
      <c r="N203" s="6" t="s">
        <v>21</v>
      </c>
      <c r="O203" s="6" t="s">
        <v>22</v>
      </c>
    </row>
    <row r="204" spans="1:15" hidden="1">
      <c r="A204" t="s">
        <v>15</v>
      </c>
      <c r="B204" t="str">
        <f>"FES1162687572"</f>
        <v>FES1162687572</v>
      </c>
      <c r="C204" s="9">
        <v>43587</v>
      </c>
      <c r="D204">
        <v>1</v>
      </c>
      <c r="E204">
        <v>2170686075</v>
      </c>
      <c r="F204" t="s">
        <v>16</v>
      </c>
      <c r="G204" t="s">
        <v>17</v>
      </c>
      <c r="H204" t="s">
        <v>43</v>
      </c>
      <c r="I204" t="s">
        <v>44</v>
      </c>
      <c r="J204" t="s">
        <v>207</v>
      </c>
      <c r="K204" s="9">
        <v>43588</v>
      </c>
      <c r="L204" s="10">
        <v>0.41666666666666669</v>
      </c>
      <c r="M204" t="s">
        <v>208</v>
      </c>
      <c r="N204" t="s">
        <v>485</v>
      </c>
      <c r="O204" t="s">
        <v>22</v>
      </c>
    </row>
    <row r="205" spans="1:15" hidden="1">
      <c r="A205" t="s">
        <v>15</v>
      </c>
      <c r="B205" t="str">
        <f>"FES1162687656"</f>
        <v>FES1162687656</v>
      </c>
      <c r="C205" s="9">
        <v>43587</v>
      </c>
      <c r="D205">
        <v>1</v>
      </c>
      <c r="E205">
        <v>2170684422</v>
      </c>
      <c r="F205" t="s">
        <v>16</v>
      </c>
      <c r="G205" t="s">
        <v>17</v>
      </c>
      <c r="H205" t="s">
        <v>59</v>
      </c>
      <c r="I205" t="s">
        <v>64</v>
      </c>
      <c r="J205" t="s">
        <v>486</v>
      </c>
      <c r="K205" s="9">
        <v>43591</v>
      </c>
      <c r="L205" s="10">
        <v>0.4375</v>
      </c>
      <c r="M205" t="s">
        <v>487</v>
      </c>
      <c r="N205" t="s">
        <v>488</v>
      </c>
      <c r="O205" t="s">
        <v>22</v>
      </c>
    </row>
    <row r="206" spans="1:15">
      <c r="A206" s="6" t="s">
        <v>15</v>
      </c>
      <c r="B206" s="6" t="str">
        <f>"FES1162687697"</f>
        <v>FES1162687697</v>
      </c>
      <c r="C206" s="7">
        <v>43587</v>
      </c>
      <c r="D206" s="6">
        <v>1</v>
      </c>
      <c r="E206" s="6">
        <v>2170684349</v>
      </c>
      <c r="F206" s="6" t="s">
        <v>16</v>
      </c>
      <c r="G206" s="6" t="s">
        <v>17</v>
      </c>
      <c r="H206" s="6" t="s">
        <v>17</v>
      </c>
      <c r="I206" s="6" t="s">
        <v>18</v>
      </c>
      <c r="J206" s="6" t="s">
        <v>19</v>
      </c>
      <c r="K206" s="7">
        <v>43591</v>
      </c>
      <c r="L206" s="8">
        <v>0.39583333333333331</v>
      </c>
      <c r="M206" s="6" t="s">
        <v>20</v>
      </c>
      <c r="N206" s="6" t="s">
        <v>21</v>
      </c>
      <c r="O206" s="6" t="s">
        <v>22</v>
      </c>
    </row>
    <row r="207" spans="1:15" hidden="1">
      <c r="A207" t="s">
        <v>15</v>
      </c>
      <c r="B207" t="str">
        <f>"FES1162687685"</f>
        <v>FES1162687685</v>
      </c>
      <c r="C207" s="9">
        <v>43587</v>
      </c>
      <c r="D207">
        <v>1</v>
      </c>
      <c r="E207">
        <v>2170684162</v>
      </c>
      <c r="F207" t="s">
        <v>16</v>
      </c>
      <c r="G207" t="s">
        <v>17</v>
      </c>
      <c r="H207" t="s">
        <v>32</v>
      </c>
      <c r="I207" t="s">
        <v>33</v>
      </c>
      <c r="J207" t="s">
        <v>34</v>
      </c>
      <c r="K207" s="9">
        <v>43588</v>
      </c>
      <c r="L207" s="10">
        <v>0.36319444444444443</v>
      </c>
      <c r="M207" t="s">
        <v>35</v>
      </c>
      <c r="N207" t="s">
        <v>489</v>
      </c>
      <c r="O207" t="s">
        <v>22</v>
      </c>
    </row>
    <row r="208" spans="1:15" hidden="1">
      <c r="A208" t="s">
        <v>15</v>
      </c>
      <c r="B208" t="str">
        <f>"FES1162687684"</f>
        <v>FES1162687684</v>
      </c>
      <c r="C208" s="9">
        <v>43587</v>
      </c>
      <c r="D208">
        <v>1</v>
      </c>
      <c r="E208">
        <v>2170684157</v>
      </c>
      <c r="F208" t="s">
        <v>16</v>
      </c>
      <c r="G208" t="s">
        <v>17</v>
      </c>
      <c r="H208" t="s">
        <v>32</v>
      </c>
      <c r="I208" t="s">
        <v>33</v>
      </c>
      <c r="J208" t="s">
        <v>34</v>
      </c>
      <c r="K208" s="9">
        <v>43588</v>
      </c>
      <c r="L208" s="10">
        <v>0.36319444444444443</v>
      </c>
      <c r="M208" t="s">
        <v>35</v>
      </c>
      <c r="N208" t="s">
        <v>490</v>
      </c>
      <c r="O208" t="s">
        <v>22</v>
      </c>
    </row>
    <row r="209" spans="1:15" hidden="1">
      <c r="A209" t="s">
        <v>15</v>
      </c>
      <c r="B209" t="str">
        <f>"FES1162687606"</f>
        <v>FES1162687606</v>
      </c>
      <c r="C209" s="9">
        <v>43587</v>
      </c>
      <c r="D209">
        <v>1</v>
      </c>
      <c r="E209">
        <v>2170686393</v>
      </c>
      <c r="F209" t="s">
        <v>58</v>
      </c>
      <c r="G209" t="s">
        <v>59</v>
      </c>
      <c r="H209" t="s">
        <v>141</v>
      </c>
      <c r="I209" t="s">
        <v>142</v>
      </c>
      <c r="J209" t="s">
        <v>491</v>
      </c>
      <c r="K209" s="9">
        <v>43588</v>
      </c>
      <c r="L209" s="10">
        <v>0.46527777777777773</v>
      </c>
      <c r="M209" t="s">
        <v>492</v>
      </c>
      <c r="N209" t="s">
        <v>493</v>
      </c>
      <c r="O209" t="s">
        <v>494</v>
      </c>
    </row>
    <row r="210" spans="1:15" hidden="1">
      <c r="A210" t="s">
        <v>15</v>
      </c>
      <c r="B210" t="str">
        <f>"FES1162687581"</f>
        <v>FES1162687581</v>
      </c>
      <c r="C210" s="9">
        <v>43587</v>
      </c>
      <c r="D210">
        <v>1</v>
      </c>
      <c r="E210">
        <v>2170686179</v>
      </c>
      <c r="F210" t="s">
        <v>16</v>
      </c>
      <c r="G210" t="s">
        <v>17</v>
      </c>
      <c r="H210" t="s">
        <v>132</v>
      </c>
      <c r="I210" t="s">
        <v>137</v>
      </c>
      <c r="J210" t="s">
        <v>138</v>
      </c>
      <c r="K210" s="9">
        <v>43588</v>
      </c>
      <c r="L210" s="10">
        <v>0.4993055555555555</v>
      </c>
      <c r="M210" t="s">
        <v>139</v>
      </c>
      <c r="N210" t="s">
        <v>495</v>
      </c>
      <c r="O210" t="s">
        <v>22</v>
      </c>
    </row>
    <row r="211" spans="1:15" hidden="1">
      <c r="A211" t="s">
        <v>15</v>
      </c>
      <c r="B211" t="str">
        <f>"FES1162687530"</f>
        <v>FES1162687530</v>
      </c>
      <c r="C211" s="9">
        <v>43587</v>
      </c>
      <c r="D211">
        <v>1</v>
      </c>
      <c r="E211">
        <v>2170684735</v>
      </c>
      <c r="F211" t="s">
        <v>16</v>
      </c>
      <c r="G211" t="s">
        <v>17</v>
      </c>
      <c r="H211" t="s">
        <v>132</v>
      </c>
      <c r="I211" t="s">
        <v>133</v>
      </c>
      <c r="J211" t="s">
        <v>189</v>
      </c>
      <c r="K211" s="9">
        <v>43588</v>
      </c>
      <c r="L211" s="10">
        <v>0.43194444444444446</v>
      </c>
      <c r="M211" t="s">
        <v>190</v>
      </c>
      <c r="N211" t="s">
        <v>496</v>
      </c>
      <c r="O211" t="s">
        <v>22</v>
      </c>
    </row>
    <row r="212" spans="1:15" hidden="1">
      <c r="A212" t="s">
        <v>15</v>
      </c>
      <c r="B212" t="str">
        <f>"FES1162687839"</f>
        <v>FES1162687839</v>
      </c>
      <c r="C212" s="9">
        <v>43587</v>
      </c>
      <c r="D212">
        <v>1</v>
      </c>
      <c r="E212">
        <v>21706867407</v>
      </c>
      <c r="F212" t="s">
        <v>16</v>
      </c>
      <c r="G212" t="s">
        <v>17</v>
      </c>
      <c r="H212" t="s">
        <v>290</v>
      </c>
      <c r="I212" t="s">
        <v>291</v>
      </c>
      <c r="J212" t="s">
        <v>497</v>
      </c>
      <c r="K212" s="9">
        <v>43588</v>
      </c>
      <c r="L212" s="10">
        <v>0.43402777777777773</v>
      </c>
      <c r="M212" t="s">
        <v>498</v>
      </c>
      <c r="N212" t="s">
        <v>499</v>
      </c>
      <c r="O212" t="s">
        <v>22</v>
      </c>
    </row>
    <row r="213" spans="1:15">
      <c r="A213" s="6" t="s">
        <v>15</v>
      </c>
      <c r="B213" s="6" t="str">
        <f>"FES1162687792"</f>
        <v>FES1162687792</v>
      </c>
      <c r="C213" s="7">
        <v>43587</v>
      </c>
      <c r="D213" s="6">
        <v>1</v>
      </c>
      <c r="E213" s="6">
        <v>2170686622</v>
      </c>
      <c r="F213" s="6" t="s">
        <v>16</v>
      </c>
      <c r="G213" s="6" t="s">
        <v>17</v>
      </c>
      <c r="H213" s="6" t="s">
        <v>17</v>
      </c>
      <c r="I213" s="6" t="s">
        <v>103</v>
      </c>
      <c r="J213" s="6" t="s">
        <v>500</v>
      </c>
      <c r="K213" s="7">
        <v>43588</v>
      </c>
      <c r="L213" s="8">
        <v>0.33333333333333331</v>
      </c>
      <c r="M213" s="6" t="s">
        <v>501</v>
      </c>
      <c r="N213" s="6" t="s">
        <v>21</v>
      </c>
      <c r="O213" s="6" t="s">
        <v>22</v>
      </c>
    </row>
    <row r="214" spans="1:15" hidden="1">
      <c r="A214" t="s">
        <v>15</v>
      </c>
      <c r="B214" t="str">
        <f>"FES1162687531"</f>
        <v>FES1162687531</v>
      </c>
      <c r="C214" s="9">
        <v>43587</v>
      </c>
      <c r="D214">
        <v>1</v>
      </c>
      <c r="E214">
        <v>2170684738</v>
      </c>
      <c r="F214" t="s">
        <v>16</v>
      </c>
      <c r="G214" t="s">
        <v>17</v>
      </c>
      <c r="H214" t="s">
        <v>132</v>
      </c>
      <c r="I214" t="s">
        <v>133</v>
      </c>
      <c r="J214" t="s">
        <v>189</v>
      </c>
      <c r="K214" s="9">
        <v>43588</v>
      </c>
      <c r="L214" s="10">
        <v>0.43194444444444446</v>
      </c>
      <c r="M214" t="s">
        <v>190</v>
      </c>
      <c r="N214" t="s">
        <v>502</v>
      </c>
      <c r="O214" t="s">
        <v>22</v>
      </c>
    </row>
    <row r="215" spans="1:15" hidden="1">
      <c r="A215" t="s">
        <v>15</v>
      </c>
      <c r="B215" t="str">
        <f>"FES1162687461"</f>
        <v>FES1162687461</v>
      </c>
      <c r="C215" s="9">
        <v>43587</v>
      </c>
      <c r="D215">
        <v>1</v>
      </c>
      <c r="E215">
        <v>2170686487</v>
      </c>
      <c r="F215" t="s">
        <v>16</v>
      </c>
      <c r="G215" t="s">
        <v>17</v>
      </c>
      <c r="H215" t="s">
        <v>141</v>
      </c>
      <c r="I215" t="s">
        <v>185</v>
      </c>
      <c r="J215" t="s">
        <v>503</v>
      </c>
      <c r="K215" s="9">
        <v>43588</v>
      </c>
      <c r="L215" s="10">
        <v>0.41319444444444442</v>
      </c>
      <c r="M215" t="s">
        <v>474</v>
      </c>
      <c r="N215" t="s">
        <v>504</v>
      </c>
      <c r="O215" t="s">
        <v>22</v>
      </c>
    </row>
    <row r="216" spans="1:15" hidden="1">
      <c r="A216" t="s">
        <v>15</v>
      </c>
      <c r="B216" t="str">
        <f>"FES1162687538"</f>
        <v>FES1162687538</v>
      </c>
      <c r="C216" s="9">
        <v>43587</v>
      </c>
      <c r="D216">
        <v>1</v>
      </c>
      <c r="E216">
        <v>2170684956</v>
      </c>
      <c r="F216" t="s">
        <v>16</v>
      </c>
      <c r="G216" t="s">
        <v>17</v>
      </c>
      <c r="H216" t="s">
        <v>290</v>
      </c>
      <c r="I216" t="s">
        <v>309</v>
      </c>
      <c r="J216" t="s">
        <v>310</v>
      </c>
      <c r="K216" s="9">
        <v>43588</v>
      </c>
      <c r="L216" s="10">
        <v>0.3888888888888889</v>
      </c>
      <c r="M216" t="s">
        <v>311</v>
      </c>
      <c r="N216" t="s">
        <v>505</v>
      </c>
      <c r="O216" t="s">
        <v>22</v>
      </c>
    </row>
    <row r="217" spans="1:15" hidden="1">
      <c r="A217" t="s">
        <v>15</v>
      </c>
      <c r="B217" t="str">
        <f>"FES1162687682"</f>
        <v>FES1162687682</v>
      </c>
      <c r="C217" s="9">
        <v>43587</v>
      </c>
      <c r="D217">
        <v>1</v>
      </c>
      <c r="E217">
        <v>2170684143</v>
      </c>
      <c r="F217" t="s">
        <v>16</v>
      </c>
      <c r="G217" t="s">
        <v>17</v>
      </c>
      <c r="H217" t="s">
        <v>300</v>
      </c>
      <c r="I217" t="s">
        <v>301</v>
      </c>
      <c r="J217" t="s">
        <v>506</v>
      </c>
      <c r="K217" s="9">
        <v>43588</v>
      </c>
      <c r="L217" s="10">
        <v>0.37222222222222223</v>
      </c>
      <c r="M217" t="s">
        <v>507</v>
      </c>
      <c r="N217" t="s">
        <v>508</v>
      </c>
      <c r="O217" t="s">
        <v>22</v>
      </c>
    </row>
    <row r="218" spans="1:15">
      <c r="A218" s="6" t="s">
        <v>15</v>
      </c>
      <c r="B218" s="6" t="str">
        <f>"FES1162687807"</f>
        <v>FES1162687807</v>
      </c>
      <c r="C218" s="7">
        <v>43587</v>
      </c>
      <c r="D218" s="6">
        <v>1</v>
      </c>
      <c r="E218" s="6">
        <v>21706866871</v>
      </c>
      <c r="F218" s="6" t="s">
        <v>16</v>
      </c>
      <c r="G218" s="6" t="s">
        <v>17</v>
      </c>
      <c r="H218" s="6" t="s">
        <v>17</v>
      </c>
      <c r="I218" s="6" t="s">
        <v>64</v>
      </c>
      <c r="J218" s="6" t="s">
        <v>509</v>
      </c>
      <c r="K218" s="7">
        <v>43588</v>
      </c>
      <c r="L218" s="8">
        <v>0.33333333333333331</v>
      </c>
      <c r="M218" s="6" t="s">
        <v>510</v>
      </c>
      <c r="N218" s="6" t="s">
        <v>21</v>
      </c>
      <c r="O218" s="6" t="s">
        <v>22</v>
      </c>
    </row>
    <row r="219" spans="1:15" hidden="1">
      <c r="A219" t="s">
        <v>15</v>
      </c>
      <c r="B219" t="str">
        <f>"FES1162687764"</f>
        <v>FES1162687764</v>
      </c>
      <c r="C219" s="9">
        <v>43587</v>
      </c>
      <c r="D219">
        <v>1</v>
      </c>
      <c r="E219">
        <v>2170686617</v>
      </c>
      <c r="F219" t="s">
        <v>16</v>
      </c>
      <c r="G219" t="s">
        <v>17</v>
      </c>
      <c r="H219" t="s">
        <v>290</v>
      </c>
      <c r="I219" t="s">
        <v>291</v>
      </c>
      <c r="J219" t="s">
        <v>297</v>
      </c>
      <c r="K219" s="9">
        <v>43588</v>
      </c>
      <c r="L219" s="10">
        <v>0.35069444444444442</v>
      </c>
      <c r="M219" t="s">
        <v>298</v>
      </c>
      <c r="N219" t="s">
        <v>511</v>
      </c>
      <c r="O219" t="s">
        <v>22</v>
      </c>
    </row>
    <row r="220" spans="1:15" hidden="1">
      <c r="A220" t="s">
        <v>15</v>
      </c>
      <c r="B220" t="str">
        <f>"FES1162687578"</f>
        <v>FES1162687578</v>
      </c>
      <c r="C220" s="9">
        <v>43587</v>
      </c>
      <c r="D220">
        <v>1</v>
      </c>
      <c r="E220">
        <v>2170686150</v>
      </c>
      <c r="F220" t="s">
        <v>16</v>
      </c>
      <c r="G220" t="s">
        <v>17</v>
      </c>
      <c r="H220" t="s">
        <v>290</v>
      </c>
      <c r="I220" t="s">
        <v>309</v>
      </c>
      <c r="J220" t="s">
        <v>328</v>
      </c>
      <c r="K220" s="9">
        <v>43588</v>
      </c>
      <c r="L220" s="10">
        <v>0.40972222222222227</v>
      </c>
      <c r="M220" t="s">
        <v>329</v>
      </c>
      <c r="N220" t="s">
        <v>512</v>
      </c>
      <c r="O220" t="s">
        <v>22</v>
      </c>
    </row>
    <row r="221" spans="1:15">
      <c r="A221" s="6" t="s">
        <v>15</v>
      </c>
      <c r="B221" s="6" t="str">
        <f>"FES1162687646"</f>
        <v>FES1162687646</v>
      </c>
      <c r="C221" s="7">
        <v>43587</v>
      </c>
      <c r="D221" s="6">
        <v>1</v>
      </c>
      <c r="E221" s="6">
        <v>2170684990</v>
      </c>
      <c r="F221" s="6" t="s">
        <v>16</v>
      </c>
      <c r="G221" s="6" t="s">
        <v>17</v>
      </c>
      <c r="H221" s="6" t="s">
        <v>17</v>
      </c>
      <c r="I221" s="6" t="s">
        <v>64</v>
      </c>
      <c r="J221" s="6" t="s">
        <v>513</v>
      </c>
      <c r="K221" s="7">
        <v>43588</v>
      </c>
      <c r="L221" s="8">
        <v>0.43402777777777773</v>
      </c>
      <c r="M221" s="6" t="s">
        <v>514</v>
      </c>
      <c r="N221" s="6" t="s">
        <v>21</v>
      </c>
      <c r="O221" s="6" t="s">
        <v>22</v>
      </c>
    </row>
    <row r="222" spans="1:15" hidden="1">
      <c r="A222" t="s">
        <v>15</v>
      </c>
      <c r="B222" t="str">
        <f>"FES1162687465"</f>
        <v>FES1162687465</v>
      </c>
      <c r="C222" s="9">
        <v>43587</v>
      </c>
      <c r="D222">
        <v>1</v>
      </c>
      <c r="E222">
        <v>2170686493</v>
      </c>
      <c r="F222" t="s">
        <v>16</v>
      </c>
      <c r="G222" t="s">
        <v>17</v>
      </c>
      <c r="H222" t="s">
        <v>141</v>
      </c>
      <c r="I222" t="s">
        <v>185</v>
      </c>
      <c r="J222" t="s">
        <v>515</v>
      </c>
      <c r="K222" s="9">
        <v>43588</v>
      </c>
      <c r="L222" s="10">
        <v>0.37152777777777773</v>
      </c>
      <c r="M222" t="s">
        <v>516</v>
      </c>
      <c r="N222" t="s">
        <v>517</v>
      </c>
      <c r="O222" t="s">
        <v>22</v>
      </c>
    </row>
    <row r="223" spans="1:15" hidden="1">
      <c r="A223" t="s">
        <v>15</v>
      </c>
      <c r="B223" t="str">
        <f>"FES1162687558"</f>
        <v>FES1162687558</v>
      </c>
      <c r="C223" s="9">
        <v>43587</v>
      </c>
      <c r="D223">
        <v>1</v>
      </c>
      <c r="E223">
        <v>2170685640</v>
      </c>
      <c r="F223" t="s">
        <v>16</v>
      </c>
      <c r="G223" t="s">
        <v>17</v>
      </c>
      <c r="H223" t="s">
        <v>43</v>
      </c>
      <c r="I223" t="s">
        <v>44</v>
      </c>
      <c r="J223" t="s">
        <v>207</v>
      </c>
      <c r="K223" s="9">
        <v>43588</v>
      </c>
      <c r="L223" s="10">
        <v>0.41666666666666669</v>
      </c>
      <c r="M223" t="s">
        <v>208</v>
      </c>
      <c r="N223" t="s">
        <v>518</v>
      </c>
      <c r="O223" t="s">
        <v>22</v>
      </c>
    </row>
    <row r="224" spans="1:15">
      <c r="A224" s="6" t="s">
        <v>15</v>
      </c>
      <c r="B224" s="6" t="str">
        <f>"FES1162687790"</f>
        <v>FES1162687790</v>
      </c>
      <c r="C224" s="7">
        <v>43587</v>
      </c>
      <c r="D224" s="6">
        <v>1</v>
      </c>
      <c r="E224" s="6">
        <v>2170686651</v>
      </c>
      <c r="F224" s="6" t="s">
        <v>16</v>
      </c>
      <c r="G224" s="6" t="s">
        <v>17</v>
      </c>
      <c r="H224" s="6" t="s">
        <v>17</v>
      </c>
      <c r="I224" s="6" t="s">
        <v>23</v>
      </c>
      <c r="J224" s="6" t="s">
        <v>519</v>
      </c>
      <c r="K224" s="7">
        <v>43588</v>
      </c>
      <c r="L224" s="8">
        <v>0.42708333333333331</v>
      </c>
      <c r="M224" s="6" t="s">
        <v>520</v>
      </c>
      <c r="N224" s="6" t="s">
        <v>21</v>
      </c>
      <c r="O224" s="6" t="s">
        <v>22</v>
      </c>
    </row>
    <row r="225" spans="1:15" hidden="1">
      <c r="A225" t="s">
        <v>15</v>
      </c>
      <c r="B225" t="str">
        <f>"FES1162687569"</f>
        <v>FES1162687569</v>
      </c>
      <c r="C225" s="9">
        <v>43587</v>
      </c>
      <c r="D225">
        <v>1</v>
      </c>
      <c r="E225">
        <v>2170685973</v>
      </c>
      <c r="F225" t="s">
        <v>16</v>
      </c>
      <c r="G225" t="s">
        <v>17</v>
      </c>
      <c r="H225" t="s">
        <v>43</v>
      </c>
      <c r="I225" t="s">
        <v>44</v>
      </c>
      <c r="J225" t="s">
        <v>207</v>
      </c>
      <c r="K225" s="9">
        <v>43588</v>
      </c>
      <c r="L225" s="10">
        <v>0.41666666666666669</v>
      </c>
      <c r="M225" t="s">
        <v>390</v>
      </c>
      <c r="N225" t="s">
        <v>521</v>
      </c>
      <c r="O225" t="s">
        <v>22</v>
      </c>
    </row>
    <row r="226" spans="1:15" hidden="1">
      <c r="A226" t="s">
        <v>15</v>
      </c>
      <c r="B226" t="str">
        <f>"FES1162687462"</f>
        <v>FES1162687462</v>
      </c>
      <c r="C226" s="9">
        <v>43587</v>
      </c>
      <c r="D226">
        <v>1</v>
      </c>
      <c r="E226">
        <v>2170686489</v>
      </c>
      <c r="F226" t="s">
        <v>16</v>
      </c>
      <c r="G226" t="s">
        <v>17</v>
      </c>
      <c r="H226" t="s">
        <v>43</v>
      </c>
      <c r="I226" t="s">
        <v>44</v>
      </c>
      <c r="J226" t="s">
        <v>128</v>
      </c>
      <c r="K226" s="9">
        <v>43588</v>
      </c>
      <c r="L226" s="10">
        <v>0.37083333333333335</v>
      </c>
      <c r="M226" t="s">
        <v>128</v>
      </c>
      <c r="N226" t="s">
        <v>522</v>
      </c>
      <c r="O226" t="s">
        <v>22</v>
      </c>
    </row>
    <row r="227" spans="1:15" hidden="1">
      <c r="A227" t="s">
        <v>15</v>
      </c>
      <c r="B227" t="str">
        <f>"FES1162687537"</f>
        <v>FES1162687537</v>
      </c>
      <c r="C227" s="9">
        <v>43587</v>
      </c>
      <c r="D227">
        <v>1</v>
      </c>
      <c r="E227">
        <v>2170684954</v>
      </c>
      <c r="F227" t="s">
        <v>16</v>
      </c>
      <c r="G227" t="s">
        <v>17</v>
      </c>
      <c r="H227" t="s">
        <v>290</v>
      </c>
      <c r="I227" t="s">
        <v>309</v>
      </c>
      <c r="J227" t="s">
        <v>310</v>
      </c>
      <c r="K227" s="9">
        <v>43588</v>
      </c>
      <c r="L227" s="10">
        <v>0.3888888888888889</v>
      </c>
      <c r="M227" t="s">
        <v>311</v>
      </c>
      <c r="N227" t="s">
        <v>523</v>
      </c>
      <c r="O227" t="s">
        <v>22</v>
      </c>
    </row>
    <row r="228" spans="1:15">
      <c r="A228" s="6" t="s">
        <v>15</v>
      </c>
      <c r="B228" s="6" t="str">
        <f>"FES1162687643"</f>
        <v>FES1162687643</v>
      </c>
      <c r="C228" s="7">
        <v>43587</v>
      </c>
      <c r="D228" s="6">
        <v>1</v>
      </c>
      <c r="E228" s="6">
        <v>2170683943</v>
      </c>
      <c r="F228" s="6" t="s">
        <v>16</v>
      </c>
      <c r="G228" s="6" t="s">
        <v>17</v>
      </c>
      <c r="H228" s="6" t="s">
        <v>17</v>
      </c>
      <c r="I228" s="6" t="s">
        <v>64</v>
      </c>
      <c r="J228" s="6" t="s">
        <v>524</v>
      </c>
      <c r="K228" s="7">
        <v>43588</v>
      </c>
      <c r="L228" s="8">
        <v>0.33333333333333331</v>
      </c>
      <c r="M228" s="6" t="s">
        <v>56</v>
      </c>
      <c r="N228" s="6" t="s">
        <v>21</v>
      </c>
      <c r="O228" s="6" t="s">
        <v>22</v>
      </c>
    </row>
    <row r="229" spans="1:15" hidden="1">
      <c r="A229" t="s">
        <v>15</v>
      </c>
      <c r="B229" t="str">
        <f>"FES1162687638"</f>
        <v>FES1162687638</v>
      </c>
      <c r="C229" s="9">
        <v>43587</v>
      </c>
      <c r="D229">
        <v>1</v>
      </c>
      <c r="E229">
        <v>21706877329</v>
      </c>
      <c r="F229" t="s">
        <v>16</v>
      </c>
      <c r="G229" t="s">
        <v>17</v>
      </c>
      <c r="H229" t="s">
        <v>525</v>
      </c>
      <c r="I229" t="s">
        <v>526</v>
      </c>
      <c r="J229" t="s">
        <v>527</v>
      </c>
      <c r="K229" s="9">
        <v>43588</v>
      </c>
      <c r="L229" s="10">
        <v>0.39861111111111108</v>
      </c>
      <c r="M229" t="s">
        <v>528</v>
      </c>
      <c r="N229" t="s">
        <v>529</v>
      </c>
      <c r="O229" t="s">
        <v>22</v>
      </c>
    </row>
    <row r="230" spans="1:15" hidden="1">
      <c r="A230" t="s">
        <v>15</v>
      </c>
      <c r="B230" t="str">
        <f>"FES1162687774"</f>
        <v>FES1162687774</v>
      </c>
      <c r="C230" s="9">
        <v>43587</v>
      </c>
      <c r="D230">
        <v>1</v>
      </c>
      <c r="E230">
        <v>2170686631</v>
      </c>
      <c r="F230" t="s">
        <v>16</v>
      </c>
      <c r="G230" t="s">
        <v>17</v>
      </c>
      <c r="H230" t="s">
        <v>290</v>
      </c>
      <c r="I230" t="s">
        <v>291</v>
      </c>
      <c r="J230" t="s">
        <v>297</v>
      </c>
      <c r="K230" s="9">
        <v>43588</v>
      </c>
      <c r="L230" s="10">
        <v>0.35000000000000003</v>
      </c>
      <c r="M230" t="s">
        <v>298</v>
      </c>
      <c r="N230" t="s">
        <v>530</v>
      </c>
      <c r="O230" t="s">
        <v>22</v>
      </c>
    </row>
    <row r="231" spans="1:15" hidden="1">
      <c r="A231" t="s">
        <v>15</v>
      </c>
      <c r="B231" t="str">
        <f>"FES1162687525"</f>
        <v>FES1162687525</v>
      </c>
      <c r="C231" s="9">
        <v>43587</v>
      </c>
      <c r="D231">
        <v>1</v>
      </c>
      <c r="E231">
        <v>2170684415</v>
      </c>
      <c r="F231" t="s">
        <v>16</v>
      </c>
      <c r="G231" t="s">
        <v>17</v>
      </c>
      <c r="H231" t="s">
        <v>290</v>
      </c>
      <c r="I231" t="s">
        <v>309</v>
      </c>
      <c r="J231" t="s">
        <v>310</v>
      </c>
      <c r="K231" s="9">
        <v>43588</v>
      </c>
      <c r="L231" s="10">
        <v>0.3888888888888889</v>
      </c>
      <c r="M231" t="s">
        <v>311</v>
      </c>
      <c r="N231" t="s">
        <v>531</v>
      </c>
      <c r="O231" t="s">
        <v>22</v>
      </c>
    </row>
    <row r="232" spans="1:15" hidden="1">
      <c r="A232" t="s">
        <v>15</v>
      </c>
      <c r="B232" t="str">
        <f>"FES1162687660"</f>
        <v>FES1162687660</v>
      </c>
      <c r="C232" s="9">
        <v>43587</v>
      </c>
      <c r="D232">
        <v>1</v>
      </c>
      <c r="E232">
        <v>2170684462</v>
      </c>
      <c r="F232" t="s">
        <v>16</v>
      </c>
      <c r="G232" t="s">
        <v>17</v>
      </c>
      <c r="H232" t="s">
        <v>290</v>
      </c>
      <c r="I232" t="s">
        <v>291</v>
      </c>
      <c r="J232" t="s">
        <v>532</v>
      </c>
      <c r="K232" s="9">
        <v>43588</v>
      </c>
      <c r="L232" s="10">
        <v>0.42708333333333331</v>
      </c>
      <c r="M232" t="s">
        <v>533</v>
      </c>
      <c r="N232" t="s">
        <v>534</v>
      </c>
      <c r="O232" t="s">
        <v>22</v>
      </c>
    </row>
    <row r="233" spans="1:15" hidden="1">
      <c r="A233" t="s">
        <v>15</v>
      </c>
      <c r="B233" t="str">
        <f>"FES1162687699"</f>
        <v>FES1162687699</v>
      </c>
      <c r="C233" s="9">
        <v>43587</v>
      </c>
      <c r="D233">
        <v>1</v>
      </c>
      <c r="E233">
        <v>2170684368</v>
      </c>
      <c r="F233" t="s">
        <v>16</v>
      </c>
      <c r="G233" t="s">
        <v>17</v>
      </c>
      <c r="H233" t="s">
        <v>37</v>
      </c>
      <c r="I233" t="s">
        <v>38</v>
      </c>
      <c r="J233" t="s">
        <v>535</v>
      </c>
      <c r="K233" s="9">
        <v>43588</v>
      </c>
      <c r="L233" s="10">
        <v>0.43055555555555558</v>
      </c>
      <c r="M233" t="s">
        <v>536</v>
      </c>
      <c r="N233" t="s">
        <v>537</v>
      </c>
      <c r="O233" t="s">
        <v>22</v>
      </c>
    </row>
    <row r="234" spans="1:15" hidden="1">
      <c r="A234" t="s">
        <v>15</v>
      </c>
      <c r="B234" t="str">
        <f>"FES1162687527"</f>
        <v>FES1162687527</v>
      </c>
      <c r="C234" s="9">
        <v>43587</v>
      </c>
      <c r="D234">
        <v>1</v>
      </c>
      <c r="E234">
        <v>2170684490</v>
      </c>
      <c r="F234" t="s">
        <v>58</v>
      </c>
      <c r="G234" t="s">
        <v>59</v>
      </c>
      <c r="H234" t="s">
        <v>59</v>
      </c>
      <c r="I234" t="s">
        <v>18</v>
      </c>
      <c r="J234" t="s">
        <v>19</v>
      </c>
      <c r="K234" s="9">
        <v>43591</v>
      </c>
      <c r="L234" s="10">
        <v>0.39583333333333331</v>
      </c>
      <c r="M234" t="s">
        <v>20</v>
      </c>
      <c r="N234" t="s">
        <v>538</v>
      </c>
      <c r="O234" t="s">
        <v>22</v>
      </c>
    </row>
    <row r="235" spans="1:15" hidden="1">
      <c r="A235" t="s">
        <v>15</v>
      </c>
      <c r="B235" t="str">
        <f>"FES1162687505"</f>
        <v>FES1162687505</v>
      </c>
      <c r="C235" s="9">
        <v>43587</v>
      </c>
      <c r="D235">
        <v>1</v>
      </c>
      <c r="E235">
        <v>2170682226</v>
      </c>
      <c r="F235" t="s">
        <v>16</v>
      </c>
      <c r="G235" t="s">
        <v>17</v>
      </c>
      <c r="H235" t="s">
        <v>32</v>
      </c>
      <c r="I235" t="s">
        <v>33</v>
      </c>
      <c r="J235" t="s">
        <v>34</v>
      </c>
      <c r="K235" s="9">
        <v>43588</v>
      </c>
      <c r="L235" s="10">
        <v>0.36319444444444443</v>
      </c>
      <c r="M235" t="s">
        <v>35</v>
      </c>
      <c r="N235" t="s">
        <v>539</v>
      </c>
      <c r="O235" t="s">
        <v>22</v>
      </c>
    </row>
    <row r="236" spans="1:15" hidden="1">
      <c r="A236" t="s">
        <v>15</v>
      </c>
      <c r="B236" t="str">
        <f>"FES1162687500"</f>
        <v>FES1162687500</v>
      </c>
      <c r="C236" s="9">
        <v>43587</v>
      </c>
      <c r="D236">
        <v>1</v>
      </c>
      <c r="E236">
        <v>2170682203</v>
      </c>
      <c r="F236" t="s">
        <v>16</v>
      </c>
      <c r="G236" t="s">
        <v>17</v>
      </c>
      <c r="H236" t="s">
        <v>32</v>
      </c>
      <c r="I236" t="s">
        <v>33</v>
      </c>
      <c r="J236" t="s">
        <v>34</v>
      </c>
      <c r="K236" s="9">
        <v>43588</v>
      </c>
      <c r="L236" s="10">
        <v>0.36319444444444443</v>
      </c>
      <c r="M236" t="s">
        <v>35</v>
      </c>
      <c r="N236" t="s">
        <v>540</v>
      </c>
      <c r="O236" t="s">
        <v>22</v>
      </c>
    </row>
    <row r="237" spans="1:15" hidden="1">
      <c r="A237" t="s">
        <v>15</v>
      </c>
      <c r="B237" t="str">
        <f>"FES1162687609"</f>
        <v>FES1162687609</v>
      </c>
      <c r="C237" s="9">
        <v>43587</v>
      </c>
      <c r="D237">
        <v>1</v>
      </c>
      <c r="E237">
        <v>2170686409</v>
      </c>
      <c r="F237" t="s">
        <v>16</v>
      </c>
      <c r="G237" t="s">
        <v>17</v>
      </c>
      <c r="H237" t="s">
        <v>290</v>
      </c>
      <c r="I237" t="s">
        <v>291</v>
      </c>
      <c r="J237" t="s">
        <v>541</v>
      </c>
      <c r="K237" s="9">
        <v>43588</v>
      </c>
      <c r="L237" s="10">
        <v>0.42708333333333331</v>
      </c>
      <c r="M237" t="s">
        <v>542</v>
      </c>
      <c r="N237" t="s">
        <v>543</v>
      </c>
      <c r="O237" t="s">
        <v>22</v>
      </c>
    </row>
    <row r="238" spans="1:15" hidden="1">
      <c r="A238" t="s">
        <v>15</v>
      </c>
      <c r="B238" t="str">
        <f>"FES1162687737"</f>
        <v>FES1162687737</v>
      </c>
      <c r="C238" s="9">
        <v>43587</v>
      </c>
      <c r="D238">
        <v>1</v>
      </c>
      <c r="E238">
        <v>2170686587</v>
      </c>
      <c r="F238" t="s">
        <v>16</v>
      </c>
      <c r="G238" t="s">
        <v>17</v>
      </c>
      <c r="H238" t="s">
        <v>32</v>
      </c>
      <c r="I238" t="s">
        <v>33</v>
      </c>
      <c r="J238" t="s">
        <v>360</v>
      </c>
      <c r="K238" s="9">
        <v>43588</v>
      </c>
      <c r="L238" s="10">
        <v>0.38541666666666669</v>
      </c>
      <c r="M238" t="s">
        <v>361</v>
      </c>
      <c r="N238" t="s">
        <v>544</v>
      </c>
      <c r="O238" t="s">
        <v>22</v>
      </c>
    </row>
    <row r="239" spans="1:15" hidden="1">
      <c r="A239" t="s">
        <v>15</v>
      </c>
      <c r="B239" t="str">
        <f>"FES1162687488"</f>
        <v>FES1162687488</v>
      </c>
      <c r="C239" s="9">
        <v>43587</v>
      </c>
      <c r="D239">
        <v>1</v>
      </c>
      <c r="E239">
        <v>2170680223</v>
      </c>
      <c r="F239" t="s">
        <v>16</v>
      </c>
      <c r="G239" t="s">
        <v>17</v>
      </c>
      <c r="H239" t="s">
        <v>32</v>
      </c>
      <c r="I239" t="s">
        <v>33</v>
      </c>
      <c r="J239" t="s">
        <v>34</v>
      </c>
      <c r="K239" s="9">
        <v>43588</v>
      </c>
      <c r="L239" s="10">
        <v>0.36319444444444443</v>
      </c>
      <c r="M239" t="s">
        <v>35</v>
      </c>
      <c r="N239" t="s">
        <v>545</v>
      </c>
      <c r="O239" t="s">
        <v>22</v>
      </c>
    </row>
    <row r="240" spans="1:15" hidden="1">
      <c r="A240" t="s">
        <v>15</v>
      </c>
      <c r="B240" t="str">
        <f>"FES1162687726"</f>
        <v>FES1162687726</v>
      </c>
      <c r="C240" s="9">
        <v>43587</v>
      </c>
      <c r="D240">
        <v>1</v>
      </c>
      <c r="E240">
        <v>2170686571</v>
      </c>
      <c r="F240" t="s">
        <v>16</v>
      </c>
      <c r="G240" t="s">
        <v>17</v>
      </c>
      <c r="H240" t="s">
        <v>32</v>
      </c>
      <c r="I240" t="s">
        <v>33</v>
      </c>
      <c r="J240" t="s">
        <v>546</v>
      </c>
      <c r="K240" s="9">
        <v>43588</v>
      </c>
      <c r="L240" s="10">
        <v>0.39930555555555558</v>
      </c>
      <c r="M240" t="s">
        <v>547</v>
      </c>
      <c r="N240" t="s">
        <v>548</v>
      </c>
      <c r="O240" t="s">
        <v>22</v>
      </c>
    </row>
    <row r="241" spans="1:15" hidden="1">
      <c r="A241" t="s">
        <v>15</v>
      </c>
      <c r="B241" t="str">
        <f>"FES1162687528"</f>
        <v>FES1162687528</v>
      </c>
      <c r="C241" s="9">
        <v>43587</v>
      </c>
      <c r="D241">
        <v>1</v>
      </c>
      <c r="E241">
        <v>2170684520</v>
      </c>
      <c r="F241" t="s">
        <v>16</v>
      </c>
      <c r="G241" t="s">
        <v>17</v>
      </c>
      <c r="H241" t="s">
        <v>32</v>
      </c>
      <c r="I241" t="s">
        <v>342</v>
      </c>
      <c r="J241" t="s">
        <v>549</v>
      </c>
      <c r="K241" s="9">
        <v>43588</v>
      </c>
      <c r="L241" s="10">
        <v>0.4284722222222222</v>
      </c>
      <c r="M241" t="s">
        <v>550</v>
      </c>
      <c r="N241" t="s">
        <v>551</v>
      </c>
      <c r="O241" t="s">
        <v>22</v>
      </c>
    </row>
    <row r="242" spans="1:15">
      <c r="A242" s="6" t="s">
        <v>15</v>
      </c>
      <c r="B242" s="6" t="str">
        <f>"FES1162687776"</f>
        <v>FES1162687776</v>
      </c>
      <c r="C242" s="7">
        <v>43587</v>
      </c>
      <c r="D242" s="6">
        <v>1</v>
      </c>
      <c r="E242" s="6">
        <v>21706786634</v>
      </c>
      <c r="F242" s="6" t="s">
        <v>16</v>
      </c>
      <c r="G242" s="6" t="s">
        <v>17</v>
      </c>
      <c r="H242" s="6" t="s">
        <v>17</v>
      </c>
      <c r="I242" s="6" t="s">
        <v>64</v>
      </c>
      <c r="J242" s="6" t="s">
        <v>116</v>
      </c>
      <c r="K242" s="7">
        <v>43588</v>
      </c>
      <c r="L242" s="8">
        <v>0.65972222222222221</v>
      </c>
      <c r="M242" s="6" t="s">
        <v>100</v>
      </c>
      <c r="N242" s="6" t="s">
        <v>21</v>
      </c>
      <c r="O242" s="6" t="s">
        <v>22</v>
      </c>
    </row>
    <row r="243" spans="1:15">
      <c r="A243" s="6" t="s">
        <v>15</v>
      </c>
      <c r="B243" s="6" t="str">
        <f>"FES1162687872"</f>
        <v>FES1162687872</v>
      </c>
      <c r="C243" s="7">
        <v>43587</v>
      </c>
      <c r="D243" s="6">
        <v>1</v>
      </c>
      <c r="E243" s="6">
        <v>2170686736</v>
      </c>
      <c r="F243" s="6" t="s">
        <v>16</v>
      </c>
      <c r="G243" s="6" t="s">
        <v>17</v>
      </c>
      <c r="H243" s="6" t="s">
        <v>17</v>
      </c>
      <c r="I243" s="6" t="s">
        <v>64</v>
      </c>
      <c r="J243" s="6" t="s">
        <v>552</v>
      </c>
      <c r="K243" s="7">
        <v>43588</v>
      </c>
      <c r="L243" s="8">
        <v>0.33333333333333331</v>
      </c>
      <c r="M243" s="6" t="s">
        <v>100</v>
      </c>
      <c r="N243" s="6" t="s">
        <v>21</v>
      </c>
      <c r="O243" s="6" t="s">
        <v>22</v>
      </c>
    </row>
    <row r="244" spans="1:15">
      <c r="A244" s="6" t="s">
        <v>15</v>
      </c>
      <c r="B244" s="6" t="str">
        <f>"FES1162687760"</f>
        <v>FES1162687760</v>
      </c>
      <c r="C244" s="7">
        <v>43587</v>
      </c>
      <c r="D244" s="6">
        <v>1</v>
      </c>
      <c r="E244" s="6">
        <v>2170685104</v>
      </c>
      <c r="F244" s="6" t="s">
        <v>16</v>
      </c>
      <c r="G244" s="6" t="s">
        <v>17</v>
      </c>
      <c r="H244" s="6" t="s">
        <v>17</v>
      </c>
      <c r="I244" s="6" t="s">
        <v>64</v>
      </c>
      <c r="J244" s="6" t="s">
        <v>553</v>
      </c>
      <c r="K244" s="7">
        <v>43588</v>
      </c>
      <c r="L244" s="8">
        <v>0.33333333333333331</v>
      </c>
      <c r="M244" s="6" t="s">
        <v>554</v>
      </c>
      <c r="N244" s="6" t="s">
        <v>21</v>
      </c>
      <c r="O244" s="6" t="s">
        <v>22</v>
      </c>
    </row>
    <row r="245" spans="1:15" hidden="1">
      <c r="A245" t="s">
        <v>15</v>
      </c>
      <c r="B245" t="str">
        <f>"FES1162687499"</f>
        <v>FES1162687499</v>
      </c>
      <c r="C245" s="9">
        <v>43587</v>
      </c>
      <c r="D245">
        <v>1</v>
      </c>
      <c r="E245">
        <v>2170682121</v>
      </c>
      <c r="F245" t="s">
        <v>16</v>
      </c>
      <c r="G245" t="s">
        <v>17</v>
      </c>
      <c r="H245" t="s">
        <v>32</v>
      </c>
      <c r="I245" t="s">
        <v>33</v>
      </c>
      <c r="J245" t="s">
        <v>34</v>
      </c>
      <c r="K245" s="9">
        <v>43588</v>
      </c>
      <c r="L245" s="10">
        <v>0.36319444444444443</v>
      </c>
      <c r="M245" t="s">
        <v>35</v>
      </c>
      <c r="N245" t="s">
        <v>555</v>
      </c>
      <c r="O245" t="s">
        <v>22</v>
      </c>
    </row>
    <row r="246" spans="1:15">
      <c r="A246" s="6" t="s">
        <v>15</v>
      </c>
      <c r="B246" s="6" t="str">
        <f>"FES1162687765"</f>
        <v>FES1162687765</v>
      </c>
      <c r="C246" s="7">
        <v>43587</v>
      </c>
      <c r="D246" s="6">
        <v>1</v>
      </c>
      <c r="E246" s="6">
        <v>2170686618</v>
      </c>
      <c r="F246" s="6" t="s">
        <v>16</v>
      </c>
      <c r="G246" s="6" t="s">
        <v>17</v>
      </c>
      <c r="H246" s="6" t="s">
        <v>17</v>
      </c>
      <c r="I246" s="6" t="s">
        <v>64</v>
      </c>
      <c r="J246" s="6" t="s">
        <v>556</v>
      </c>
      <c r="K246" s="7">
        <v>43588</v>
      </c>
      <c r="L246" s="8">
        <v>0.4548611111111111</v>
      </c>
      <c r="M246" s="6" t="s">
        <v>557</v>
      </c>
      <c r="N246" s="6" t="s">
        <v>21</v>
      </c>
      <c r="O246" s="6" t="s">
        <v>22</v>
      </c>
    </row>
    <row r="247" spans="1:15" hidden="1">
      <c r="A247" t="s">
        <v>15</v>
      </c>
      <c r="B247" t="str">
        <f>"FES1162687749"</f>
        <v>FES1162687749</v>
      </c>
      <c r="C247" s="9">
        <v>43587</v>
      </c>
      <c r="D247">
        <v>1</v>
      </c>
      <c r="E247">
        <v>2170686600</v>
      </c>
      <c r="F247" t="s">
        <v>16</v>
      </c>
      <c r="G247" t="s">
        <v>17</v>
      </c>
      <c r="H247" t="s">
        <v>32</v>
      </c>
      <c r="I247" t="s">
        <v>33</v>
      </c>
      <c r="J247" t="s">
        <v>360</v>
      </c>
      <c r="K247" s="9">
        <v>43588</v>
      </c>
      <c r="L247" s="10">
        <v>0.38541666666666669</v>
      </c>
      <c r="M247" t="s">
        <v>361</v>
      </c>
      <c r="N247" t="s">
        <v>558</v>
      </c>
      <c r="O247" t="s">
        <v>22</v>
      </c>
    </row>
    <row r="248" spans="1:15" hidden="1">
      <c r="A248" t="s">
        <v>15</v>
      </c>
      <c r="B248" t="str">
        <f>"FES1162687801"</f>
        <v>FES1162687801</v>
      </c>
      <c r="C248" s="9">
        <v>43587</v>
      </c>
      <c r="D248">
        <v>1</v>
      </c>
      <c r="E248">
        <v>2170686657</v>
      </c>
      <c r="F248" t="s">
        <v>16</v>
      </c>
      <c r="G248" t="s">
        <v>17</v>
      </c>
      <c r="H248" t="s">
        <v>37</v>
      </c>
      <c r="I248" t="s">
        <v>38</v>
      </c>
      <c r="J248" t="s">
        <v>559</v>
      </c>
      <c r="K248" s="9">
        <v>43588</v>
      </c>
      <c r="L248" s="10">
        <v>0.38958333333333334</v>
      </c>
      <c r="M248" t="s">
        <v>560</v>
      </c>
      <c r="N248" t="s">
        <v>561</v>
      </c>
      <c r="O248" t="s">
        <v>22</v>
      </c>
    </row>
    <row r="249" spans="1:15" hidden="1">
      <c r="A249" t="s">
        <v>15</v>
      </c>
      <c r="B249" t="str">
        <f>"FES1162687674"</f>
        <v>FES1162687674</v>
      </c>
      <c r="C249" s="9">
        <v>43587</v>
      </c>
      <c r="D249">
        <v>1</v>
      </c>
      <c r="E249">
        <v>2170682502</v>
      </c>
      <c r="F249" t="s">
        <v>16</v>
      </c>
      <c r="G249" t="s">
        <v>17</v>
      </c>
      <c r="H249" t="s">
        <v>290</v>
      </c>
      <c r="I249" t="s">
        <v>291</v>
      </c>
      <c r="J249" t="s">
        <v>562</v>
      </c>
      <c r="K249" s="9">
        <v>43588</v>
      </c>
      <c r="L249" s="10">
        <v>0.39444444444444443</v>
      </c>
      <c r="M249" t="s">
        <v>311</v>
      </c>
      <c r="N249" t="s">
        <v>563</v>
      </c>
      <c r="O249" t="s">
        <v>22</v>
      </c>
    </row>
    <row r="250" spans="1:15">
      <c r="A250" s="6" t="s">
        <v>15</v>
      </c>
      <c r="B250" s="6" t="str">
        <f>"FES1162687844"</f>
        <v>FES1162687844</v>
      </c>
      <c r="C250" s="7">
        <v>43587</v>
      </c>
      <c r="D250" s="6">
        <v>1</v>
      </c>
      <c r="E250" s="6">
        <v>21706861741</v>
      </c>
      <c r="F250" s="6" t="s">
        <v>16</v>
      </c>
      <c r="G250" s="6" t="s">
        <v>17</v>
      </c>
      <c r="H250" s="6" t="s">
        <v>17</v>
      </c>
      <c r="I250" s="6" t="s">
        <v>18</v>
      </c>
      <c r="J250" s="6" t="s">
        <v>160</v>
      </c>
      <c r="K250" s="7">
        <v>43588</v>
      </c>
      <c r="L250" s="8">
        <v>0.33333333333333331</v>
      </c>
      <c r="M250" s="6" t="s">
        <v>161</v>
      </c>
      <c r="N250" s="6" t="s">
        <v>21</v>
      </c>
      <c r="O250" s="6" t="s">
        <v>22</v>
      </c>
    </row>
    <row r="251" spans="1:15">
      <c r="A251" s="6" t="s">
        <v>15</v>
      </c>
      <c r="B251" s="6" t="str">
        <f>"FES1162687498"</f>
        <v>FES1162687498</v>
      </c>
      <c r="C251" s="7">
        <v>43587</v>
      </c>
      <c r="D251" s="6">
        <v>1</v>
      </c>
      <c r="E251" s="6">
        <v>2170681530</v>
      </c>
      <c r="F251" s="6" t="s">
        <v>16</v>
      </c>
      <c r="G251" s="6" t="s">
        <v>17</v>
      </c>
      <c r="H251" s="6" t="s">
        <v>17</v>
      </c>
      <c r="I251" s="6" t="s">
        <v>564</v>
      </c>
      <c r="J251" s="6" t="s">
        <v>565</v>
      </c>
      <c r="K251" s="7">
        <v>43588</v>
      </c>
      <c r="L251" s="8">
        <v>0.33333333333333331</v>
      </c>
      <c r="M251" s="6" t="s">
        <v>566</v>
      </c>
      <c r="N251" s="6" t="s">
        <v>21</v>
      </c>
      <c r="O251" s="6" t="s">
        <v>22</v>
      </c>
    </row>
    <row r="252" spans="1:15">
      <c r="A252" s="6" t="s">
        <v>15</v>
      </c>
      <c r="B252" s="6" t="str">
        <f>"FES1162687775"</f>
        <v>FES1162687775</v>
      </c>
      <c r="C252" s="7">
        <v>43587</v>
      </c>
      <c r="D252" s="6">
        <v>1</v>
      </c>
      <c r="E252" s="6">
        <v>2170686633</v>
      </c>
      <c r="F252" s="6" t="s">
        <v>16</v>
      </c>
      <c r="G252" s="6" t="s">
        <v>17</v>
      </c>
      <c r="H252" s="6" t="s">
        <v>17</v>
      </c>
      <c r="I252" s="6" t="s">
        <v>26</v>
      </c>
      <c r="J252" s="6" t="s">
        <v>567</v>
      </c>
      <c r="K252" s="7">
        <v>43588</v>
      </c>
      <c r="L252" s="8">
        <v>0.45208333333333334</v>
      </c>
      <c r="M252" s="6" t="s">
        <v>568</v>
      </c>
      <c r="N252" s="6" t="s">
        <v>21</v>
      </c>
      <c r="O252" s="6" t="s">
        <v>22</v>
      </c>
    </row>
    <row r="253" spans="1:15">
      <c r="A253" s="6" t="s">
        <v>15</v>
      </c>
      <c r="B253" s="6" t="str">
        <f>"FES1162687847"</f>
        <v>FES1162687847</v>
      </c>
      <c r="C253" s="7">
        <v>43587</v>
      </c>
      <c r="D253" s="6">
        <v>1</v>
      </c>
      <c r="E253" s="6">
        <v>2170686717</v>
      </c>
      <c r="F253" s="6" t="s">
        <v>16</v>
      </c>
      <c r="G253" s="6" t="s">
        <v>17</v>
      </c>
      <c r="H253" s="6" t="s">
        <v>17</v>
      </c>
      <c r="I253" s="6" t="s">
        <v>18</v>
      </c>
      <c r="J253" s="6" t="s">
        <v>569</v>
      </c>
      <c r="K253" s="7">
        <v>43594</v>
      </c>
      <c r="L253" s="8">
        <v>0.43263888888888885</v>
      </c>
      <c r="M253" s="6" t="s">
        <v>570</v>
      </c>
      <c r="N253" s="6" t="s">
        <v>21</v>
      </c>
      <c r="O253" s="6" t="s">
        <v>22</v>
      </c>
    </row>
    <row r="254" spans="1:15">
      <c r="A254" s="6" t="s">
        <v>15</v>
      </c>
      <c r="B254" s="6" t="str">
        <f>"FES1162687822"</f>
        <v>FES1162687822</v>
      </c>
      <c r="C254" s="7">
        <v>43587</v>
      </c>
      <c r="D254" s="6">
        <v>1</v>
      </c>
      <c r="E254" s="6">
        <v>2170686689</v>
      </c>
      <c r="F254" s="6" t="s">
        <v>16</v>
      </c>
      <c r="G254" s="6" t="s">
        <v>17</v>
      </c>
      <c r="H254" s="6" t="s">
        <v>17</v>
      </c>
      <c r="I254" s="6" t="s">
        <v>67</v>
      </c>
      <c r="J254" s="6" t="s">
        <v>571</v>
      </c>
      <c r="K254" s="7">
        <v>43591</v>
      </c>
      <c r="L254" s="8">
        <v>0.55972222222222223</v>
      </c>
      <c r="M254" s="6" t="s">
        <v>572</v>
      </c>
      <c r="N254" s="6" t="s">
        <v>21</v>
      </c>
      <c r="O254" s="6" t="s">
        <v>22</v>
      </c>
    </row>
    <row r="255" spans="1:15">
      <c r="A255" s="6" t="s">
        <v>15</v>
      </c>
      <c r="B255" s="6" t="str">
        <f>"FES1162687768"</f>
        <v>FES1162687768</v>
      </c>
      <c r="C255" s="7">
        <v>43587</v>
      </c>
      <c r="D255" s="6">
        <v>1</v>
      </c>
      <c r="E255" s="6">
        <v>2170686620</v>
      </c>
      <c r="F255" s="6" t="s">
        <v>16</v>
      </c>
      <c r="G255" s="6" t="s">
        <v>17</v>
      </c>
      <c r="H255" s="6" t="s">
        <v>17</v>
      </c>
      <c r="I255" s="6" t="s">
        <v>103</v>
      </c>
      <c r="J255" s="6" t="s">
        <v>573</v>
      </c>
      <c r="K255" s="7">
        <v>43588</v>
      </c>
      <c r="L255" s="8">
        <v>0.54027777777777775</v>
      </c>
      <c r="M255" s="6" t="s">
        <v>574</v>
      </c>
      <c r="N255" s="6" t="s">
        <v>21</v>
      </c>
      <c r="O255" s="6" t="s">
        <v>22</v>
      </c>
    </row>
    <row r="256" spans="1:15" hidden="1">
      <c r="A256" t="s">
        <v>15</v>
      </c>
      <c r="B256" t="str">
        <f>"FES1162687548"</f>
        <v>FES1162687548</v>
      </c>
      <c r="C256" s="9">
        <v>43587</v>
      </c>
      <c r="D256">
        <v>1</v>
      </c>
      <c r="E256">
        <v>2170685165</v>
      </c>
      <c r="F256" t="s">
        <v>16</v>
      </c>
      <c r="G256" t="s">
        <v>17</v>
      </c>
      <c r="H256" t="s">
        <v>290</v>
      </c>
      <c r="I256" t="s">
        <v>316</v>
      </c>
      <c r="J256" t="s">
        <v>317</v>
      </c>
      <c r="K256" s="9">
        <v>43588</v>
      </c>
      <c r="L256" s="10">
        <v>0.58333333333333337</v>
      </c>
      <c r="M256" t="s">
        <v>575</v>
      </c>
      <c r="N256" t="s">
        <v>576</v>
      </c>
      <c r="O256" t="s">
        <v>22</v>
      </c>
    </row>
    <row r="257" spans="1:15" hidden="1">
      <c r="A257" t="s">
        <v>15</v>
      </c>
      <c r="B257" t="str">
        <f>"FES1162687520"</f>
        <v>FES1162687520</v>
      </c>
      <c r="C257" s="9">
        <v>43587</v>
      </c>
      <c r="D257">
        <v>1</v>
      </c>
      <c r="E257">
        <v>2170684314</v>
      </c>
      <c r="F257" t="s">
        <v>16</v>
      </c>
      <c r="G257" t="s">
        <v>17</v>
      </c>
      <c r="H257" t="s">
        <v>440</v>
      </c>
      <c r="I257" t="s">
        <v>441</v>
      </c>
      <c r="J257" t="s">
        <v>317</v>
      </c>
      <c r="K257" s="9">
        <v>43588</v>
      </c>
      <c r="L257" s="10">
        <v>0.39583333333333331</v>
      </c>
      <c r="M257" t="s">
        <v>444</v>
      </c>
      <c r="N257" t="s">
        <v>577</v>
      </c>
      <c r="O257" t="s">
        <v>22</v>
      </c>
    </row>
    <row r="258" spans="1:15" hidden="1">
      <c r="A258" t="s">
        <v>15</v>
      </c>
      <c r="B258" t="str">
        <f>"FES1162687497"</f>
        <v>FES1162687497</v>
      </c>
      <c r="C258" s="9">
        <v>43587</v>
      </c>
      <c r="D258">
        <v>1</v>
      </c>
      <c r="E258">
        <v>2170681281</v>
      </c>
      <c r="F258" t="s">
        <v>16</v>
      </c>
      <c r="G258" t="s">
        <v>17</v>
      </c>
      <c r="H258" t="s">
        <v>141</v>
      </c>
      <c r="I258" t="s">
        <v>142</v>
      </c>
      <c r="J258" t="s">
        <v>578</v>
      </c>
      <c r="K258" s="9">
        <v>43588</v>
      </c>
      <c r="L258" s="10">
        <v>0.52430555555555558</v>
      </c>
      <c r="M258" t="s">
        <v>579</v>
      </c>
      <c r="N258" t="s">
        <v>580</v>
      </c>
      <c r="O258" t="s">
        <v>22</v>
      </c>
    </row>
    <row r="259" spans="1:15">
      <c r="A259" s="6" t="s">
        <v>15</v>
      </c>
      <c r="B259" s="6" t="str">
        <f>"FES1162687451"</f>
        <v>FES1162687451</v>
      </c>
      <c r="C259" s="7">
        <v>43587</v>
      </c>
      <c r="D259" s="6">
        <v>1</v>
      </c>
      <c r="E259" s="6">
        <v>2170684912</v>
      </c>
      <c r="F259" s="6" t="s">
        <v>16</v>
      </c>
      <c r="G259" s="6" t="s">
        <v>17</v>
      </c>
      <c r="H259" s="6" t="s">
        <v>17</v>
      </c>
      <c r="I259" s="6" t="s">
        <v>18</v>
      </c>
      <c r="J259" s="6" t="s">
        <v>19</v>
      </c>
      <c r="K259" s="7">
        <v>43591</v>
      </c>
      <c r="L259" s="8">
        <v>0.39583333333333331</v>
      </c>
      <c r="M259" s="6" t="s">
        <v>167</v>
      </c>
      <c r="N259" s="6" t="s">
        <v>21</v>
      </c>
      <c r="O259" s="6" t="s">
        <v>22</v>
      </c>
    </row>
    <row r="260" spans="1:15" hidden="1">
      <c r="A260" t="s">
        <v>15</v>
      </c>
      <c r="B260" t="str">
        <f>"FES1162687832"</f>
        <v>FES1162687832</v>
      </c>
      <c r="C260" s="9">
        <v>43587</v>
      </c>
      <c r="D260">
        <v>1</v>
      </c>
      <c r="E260">
        <v>2170686699</v>
      </c>
      <c r="F260" t="s">
        <v>58</v>
      </c>
      <c r="G260" t="s">
        <v>59</v>
      </c>
      <c r="H260" t="s">
        <v>59</v>
      </c>
      <c r="I260" t="s">
        <v>18</v>
      </c>
      <c r="J260" t="s">
        <v>581</v>
      </c>
      <c r="K260" s="9">
        <v>43591</v>
      </c>
      <c r="L260" s="10">
        <v>0.42638888888888887</v>
      </c>
      <c r="M260" t="s">
        <v>582</v>
      </c>
      <c r="N260" t="s">
        <v>583</v>
      </c>
      <c r="O260" t="s">
        <v>584</v>
      </c>
    </row>
    <row r="261" spans="1:15" hidden="1">
      <c r="A261" t="s">
        <v>15</v>
      </c>
      <c r="B261" t="str">
        <f>"FES1162687532"</f>
        <v>FES1162687532</v>
      </c>
      <c r="C261" s="9">
        <v>43587</v>
      </c>
      <c r="D261">
        <v>2</v>
      </c>
      <c r="E261">
        <v>2170684804</v>
      </c>
      <c r="F261" t="s">
        <v>16</v>
      </c>
      <c r="G261" t="s">
        <v>17</v>
      </c>
      <c r="H261" t="s">
        <v>132</v>
      </c>
      <c r="I261" t="s">
        <v>133</v>
      </c>
      <c r="J261" t="s">
        <v>189</v>
      </c>
      <c r="K261" s="9">
        <v>43588</v>
      </c>
      <c r="L261" s="10">
        <v>0.43194444444444446</v>
      </c>
      <c r="M261" t="s">
        <v>585</v>
      </c>
      <c r="N261" t="s">
        <v>586</v>
      </c>
      <c r="O261" t="s">
        <v>22</v>
      </c>
    </row>
    <row r="262" spans="1:15">
      <c r="A262" s="6" t="s">
        <v>15</v>
      </c>
      <c r="B262" s="6" t="str">
        <f>"FES1162687898"</f>
        <v>FES1162687898</v>
      </c>
      <c r="C262" s="7">
        <v>43587</v>
      </c>
      <c r="D262" s="6">
        <v>1</v>
      </c>
      <c r="E262" s="6">
        <v>2170683850</v>
      </c>
      <c r="F262" s="6" t="s">
        <v>16</v>
      </c>
      <c r="G262" s="6" t="s">
        <v>17</v>
      </c>
      <c r="H262" s="6" t="s">
        <v>17</v>
      </c>
      <c r="I262" s="6" t="s">
        <v>18</v>
      </c>
      <c r="J262" s="6" t="s">
        <v>114</v>
      </c>
      <c r="K262" s="7">
        <v>43591</v>
      </c>
      <c r="L262" s="8">
        <v>0.43055555555555558</v>
      </c>
      <c r="M262" s="6" t="s">
        <v>481</v>
      </c>
      <c r="N262" s="6" t="s">
        <v>21</v>
      </c>
      <c r="O262" s="6" t="s">
        <v>22</v>
      </c>
    </row>
    <row r="263" spans="1:15" hidden="1">
      <c r="A263" t="s">
        <v>15</v>
      </c>
      <c r="B263" t="str">
        <f>"FES1162687613"</f>
        <v>FES1162687613</v>
      </c>
      <c r="C263" s="9">
        <v>43587</v>
      </c>
      <c r="D263">
        <v>1</v>
      </c>
      <c r="E263">
        <v>2170686451</v>
      </c>
      <c r="F263" t="s">
        <v>16</v>
      </c>
      <c r="G263" t="s">
        <v>17</v>
      </c>
      <c r="H263" t="s">
        <v>43</v>
      </c>
      <c r="I263" t="s">
        <v>44</v>
      </c>
      <c r="J263" t="s">
        <v>393</v>
      </c>
      <c r="K263" s="9">
        <v>43588</v>
      </c>
      <c r="L263" s="10">
        <v>0.38194444444444442</v>
      </c>
      <c r="M263" t="s">
        <v>394</v>
      </c>
      <c r="N263" t="s">
        <v>587</v>
      </c>
      <c r="O263" t="s">
        <v>22</v>
      </c>
    </row>
    <row r="264" spans="1:15" hidden="1">
      <c r="A264" t="s">
        <v>15</v>
      </c>
      <c r="B264" t="str">
        <f>"FES1162687866"</f>
        <v>FES1162687866</v>
      </c>
      <c r="C264" s="9">
        <v>43587</v>
      </c>
      <c r="D264">
        <v>1</v>
      </c>
      <c r="E264">
        <v>2170683320</v>
      </c>
      <c r="F264" t="s">
        <v>16</v>
      </c>
      <c r="G264" t="s">
        <v>17</v>
      </c>
      <c r="H264" t="s">
        <v>141</v>
      </c>
      <c r="I264" t="s">
        <v>142</v>
      </c>
      <c r="J264" t="s">
        <v>195</v>
      </c>
      <c r="K264" s="9">
        <v>43588</v>
      </c>
      <c r="L264" s="10">
        <v>0.34930555555555554</v>
      </c>
      <c r="M264" t="s">
        <v>588</v>
      </c>
      <c r="N264" t="s">
        <v>589</v>
      </c>
      <c r="O264" t="s">
        <v>22</v>
      </c>
    </row>
    <row r="265" spans="1:15" hidden="1">
      <c r="A265" t="s">
        <v>15</v>
      </c>
      <c r="B265" t="str">
        <f>"FES1162687867"</f>
        <v>FES1162687867</v>
      </c>
      <c r="C265" s="9">
        <v>43587</v>
      </c>
      <c r="D265">
        <v>1</v>
      </c>
      <c r="E265">
        <v>2170683326</v>
      </c>
      <c r="F265" t="s">
        <v>16</v>
      </c>
      <c r="G265" t="s">
        <v>17</v>
      </c>
      <c r="H265" t="s">
        <v>141</v>
      </c>
      <c r="I265" t="s">
        <v>142</v>
      </c>
      <c r="J265" t="s">
        <v>195</v>
      </c>
      <c r="K265" s="9">
        <v>43588</v>
      </c>
      <c r="L265" s="10">
        <v>0.34930555555555554</v>
      </c>
      <c r="M265" t="s">
        <v>588</v>
      </c>
      <c r="N265" t="s">
        <v>590</v>
      </c>
      <c r="O265" t="s">
        <v>22</v>
      </c>
    </row>
    <row r="266" spans="1:15" hidden="1">
      <c r="A266" t="s">
        <v>15</v>
      </c>
      <c r="B266" t="str">
        <f>"FES1162687810"</f>
        <v>FES1162687810</v>
      </c>
      <c r="C266" s="9">
        <v>43587</v>
      </c>
      <c r="D266">
        <v>1</v>
      </c>
      <c r="E266">
        <v>217068667512</v>
      </c>
      <c r="F266" t="s">
        <v>16</v>
      </c>
      <c r="G266" t="s">
        <v>17</v>
      </c>
      <c r="H266" t="s">
        <v>43</v>
      </c>
      <c r="I266" t="s">
        <v>44</v>
      </c>
      <c r="J266" t="s">
        <v>591</v>
      </c>
      <c r="K266" s="9">
        <v>43588</v>
      </c>
      <c r="L266" s="10">
        <v>0.34930555555555554</v>
      </c>
      <c r="M266" t="s">
        <v>592</v>
      </c>
      <c r="N266" t="s">
        <v>593</v>
      </c>
      <c r="O266" t="s">
        <v>22</v>
      </c>
    </row>
    <row r="267" spans="1:15">
      <c r="A267" s="6" t="s">
        <v>15</v>
      </c>
      <c r="B267" s="6" t="str">
        <f>"FES1162687824"</f>
        <v>FES1162687824</v>
      </c>
      <c r="C267" s="7">
        <v>43587</v>
      </c>
      <c r="D267" s="6">
        <v>1</v>
      </c>
      <c r="E267" s="6">
        <v>2170686691</v>
      </c>
      <c r="F267" s="6" t="s">
        <v>16</v>
      </c>
      <c r="G267" s="6" t="s">
        <v>17</v>
      </c>
      <c r="H267" s="6" t="s">
        <v>17</v>
      </c>
      <c r="I267" s="6" t="s">
        <v>148</v>
      </c>
      <c r="J267" s="6" t="s">
        <v>419</v>
      </c>
      <c r="K267" s="7">
        <v>43588</v>
      </c>
      <c r="L267" s="8">
        <v>0.5</v>
      </c>
      <c r="M267" s="6" t="s">
        <v>420</v>
      </c>
      <c r="N267" s="6" t="s">
        <v>21</v>
      </c>
      <c r="O267" s="6" t="s">
        <v>22</v>
      </c>
    </row>
    <row r="268" spans="1:15" hidden="1">
      <c r="A268" t="s">
        <v>15</v>
      </c>
      <c r="B268" t="str">
        <f>"FES1162687478"</f>
        <v>FES1162687478</v>
      </c>
      <c r="C268" s="9">
        <v>43587</v>
      </c>
      <c r="D268">
        <v>1</v>
      </c>
      <c r="E268">
        <v>2170686513</v>
      </c>
      <c r="F268" t="s">
        <v>58</v>
      </c>
      <c r="G268" t="s">
        <v>59</v>
      </c>
      <c r="H268" t="s">
        <v>132</v>
      </c>
      <c r="I268" t="s">
        <v>133</v>
      </c>
      <c r="J268" t="s">
        <v>594</v>
      </c>
      <c r="K268" s="9">
        <v>43588</v>
      </c>
      <c r="L268" s="10">
        <v>0.38680555555555557</v>
      </c>
      <c r="M268" t="s">
        <v>595</v>
      </c>
      <c r="N268" t="s">
        <v>596</v>
      </c>
      <c r="O268" t="s">
        <v>22</v>
      </c>
    </row>
    <row r="269" spans="1:15" hidden="1">
      <c r="A269" t="s">
        <v>15</v>
      </c>
      <c r="B269" t="str">
        <f>"FES1162687877"</f>
        <v>FES1162687877</v>
      </c>
      <c r="C269" s="9">
        <v>43587</v>
      </c>
      <c r="D269">
        <v>1</v>
      </c>
      <c r="E269">
        <v>2170670449</v>
      </c>
      <c r="F269" t="s">
        <v>16</v>
      </c>
      <c r="G269" t="s">
        <v>17</v>
      </c>
      <c r="H269" t="s">
        <v>141</v>
      </c>
      <c r="I269" t="s">
        <v>142</v>
      </c>
      <c r="J269" t="s">
        <v>597</v>
      </c>
      <c r="K269" s="9">
        <v>43591</v>
      </c>
      <c r="L269" s="10">
        <v>0.42499999999999999</v>
      </c>
      <c r="M269" t="s">
        <v>598</v>
      </c>
      <c r="N269" t="s">
        <v>599</v>
      </c>
      <c r="O269" t="s">
        <v>22</v>
      </c>
    </row>
    <row r="270" spans="1:15" hidden="1">
      <c r="A270" t="s">
        <v>15</v>
      </c>
      <c r="B270" t="str">
        <f>"FES1162687513"</f>
        <v>FES1162687513</v>
      </c>
      <c r="C270" s="9">
        <v>43587</v>
      </c>
      <c r="D270">
        <v>1</v>
      </c>
      <c r="E270">
        <v>2170683348</v>
      </c>
      <c r="F270" t="s">
        <v>58</v>
      </c>
      <c r="G270" t="s">
        <v>59</v>
      </c>
      <c r="H270" t="s">
        <v>43</v>
      </c>
      <c r="I270" t="s">
        <v>60</v>
      </c>
      <c r="J270" t="s">
        <v>61</v>
      </c>
      <c r="K270" s="9">
        <v>43591</v>
      </c>
      <c r="L270" s="10">
        <v>0.5493055555555556</v>
      </c>
      <c r="M270" t="s">
        <v>79</v>
      </c>
      <c r="N270" t="s">
        <v>600</v>
      </c>
      <c r="O270" t="s">
        <v>22</v>
      </c>
    </row>
    <row r="271" spans="1:15" hidden="1">
      <c r="A271" t="s">
        <v>15</v>
      </c>
      <c r="B271" t="str">
        <f>"FES1162687534"</f>
        <v>FES1162687534</v>
      </c>
      <c r="C271" s="9">
        <v>43587</v>
      </c>
      <c r="D271">
        <v>2</v>
      </c>
      <c r="E271">
        <v>2170684869</v>
      </c>
      <c r="F271" t="s">
        <v>16</v>
      </c>
      <c r="G271" t="s">
        <v>17</v>
      </c>
      <c r="H271" t="s">
        <v>290</v>
      </c>
      <c r="I271" t="s">
        <v>601</v>
      </c>
      <c r="J271" t="s">
        <v>602</v>
      </c>
      <c r="K271" s="9">
        <v>43588</v>
      </c>
      <c r="L271" s="10">
        <v>0.52430555555555558</v>
      </c>
      <c r="M271" t="s">
        <v>77</v>
      </c>
      <c r="N271" t="s">
        <v>603</v>
      </c>
      <c r="O271" t="s">
        <v>22</v>
      </c>
    </row>
    <row r="272" spans="1:15" hidden="1">
      <c r="A272" t="s">
        <v>15</v>
      </c>
      <c r="B272" t="str">
        <f>"009935723260"</f>
        <v>009935723260</v>
      </c>
      <c r="C272" s="9">
        <v>43587</v>
      </c>
      <c r="D272">
        <v>1</v>
      </c>
      <c r="E272">
        <v>1162686285</v>
      </c>
      <c r="F272" t="s">
        <v>16</v>
      </c>
      <c r="G272" t="s">
        <v>17</v>
      </c>
      <c r="H272" t="s">
        <v>43</v>
      </c>
      <c r="I272" t="s">
        <v>44</v>
      </c>
      <c r="J272" t="s">
        <v>48</v>
      </c>
      <c r="K272" s="9">
        <v>43588</v>
      </c>
      <c r="L272" s="10">
        <v>0.37986111111111115</v>
      </c>
      <c r="M272" t="s">
        <v>49</v>
      </c>
      <c r="N272" t="s">
        <v>604</v>
      </c>
      <c r="O272" t="s">
        <v>605</v>
      </c>
    </row>
    <row r="273" spans="1:15" hidden="1">
      <c r="A273" t="s">
        <v>15</v>
      </c>
      <c r="B273" t="str">
        <f>"009935723065"</f>
        <v>009935723065</v>
      </c>
      <c r="C273" s="9">
        <v>43587</v>
      </c>
      <c r="D273">
        <v>1</v>
      </c>
      <c r="E273" t="s">
        <v>606</v>
      </c>
      <c r="F273" t="s">
        <v>16</v>
      </c>
      <c r="G273" t="s">
        <v>17</v>
      </c>
      <c r="H273" t="s">
        <v>43</v>
      </c>
      <c r="I273" t="s">
        <v>44</v>
      </c>
      <c r="J273" t="s">
        <v>607</v>
      </c>
      <c r="K273" s="9">
        <v>43588</v>
      </c>
      <c r="L273" s="10">
        <v>0.41666666666666669</v>
      </c>
      <c r="M273" t="s">
        <v>570</v>
      </c>
      <c r="N273" t="s">
        <v>608</v>
      </c>
      <c r="O273" t="s">
        <v>22</v>
      </c>
    </row>
    <row r="274" spans="1:15">
      <c r="A274" s="6" t="s">
        <v>15</v>
      </c>
      <c r="B274" s="6" t="str">
        <f>"FES1162687876"</f>
        <v>FES1162687876</v>
      </c>
      <c r="C274" s="7">
        <v>43587</v>
      </c>
      <c r="D274" s="6">
        <v>1</v>
      </c>
      <c r="E274" s="6">
        <v>2170686740</v>
      </c>
      <c r="F274" s="6" t="s">
        <v>16</v>
      </c>
      <c r="G274" s="6" t="s">
        <v>17</v>
      </c>
      <c r="H274" s="6" t="s">
        <v>17</v>
      </c>
      <c r="I274" s="6" t="s">
        <v>414</v>
      </c>
      <c r="J274" s="6" t="s">
        <v>609</v>
      </c>
      <c r="K274" s="7">
        <v>43588</v>
      </c>
      <c r="L274" s="8">
        <v>0.47361111111111115</v>
      </c>
      <c r="M274" s="6" t="s">
        <v>120</v>
      </c>
      <c r="N274" s="6" t="s">
        <v>21</v>
      </c>
      <c r="O274" s="6" t="s">
        <v>22</v>
      </c>
    </row>
    <row r="275" spans="1:15">
      <c r="A275" s="6" t="s">
        <v>15</v>
      </c>
      <c r="B275" s="6" t="str">
        <f>"FES1162687870"</f>
        <v>FES1162687870</v>
      </c>
      <c r="C275" s="7">
        <v>43587</v>
      </c>
      <c r="D275" s="6">
        <v>1</v>
      </c>
      <c r="E275" s="6">
        <v>2170686728</v>
      </c>
      <c r="F275" s="6" t="s">
        <v>16</v>
      </c>
      <c r="G275" s="6" t="s">
        <v>17</v>
      </c>
      <c r="H275" s="6" t="s">
        <v>17</v>
      </c>
      <c r="I275" s="6" t="s">
        <v>610</v>
      </c>
      <c r="J275" s="6" t="s">
        <v>611</v>
      </c>
      <c r="K275" s="7">
        <v>43588</v>
      </c>
      <c r="L275" s="8">
        <v>0.33333333333333331</v>
      </c>
      <c r="M275" s="6" t="s">
        <v>612</v>
      </c>
      <c r="N275" s="6" t="s">
        <v>21</v>
      </c>
      <c r="O275" s="6" t="s">
        <v>22</v>
      </c>
    </row>
    <row r="276" spans="1:15">
      <c r="A276" s="6" t="s">
        <v>15</v>
      </c>
      <c r="B276" s="6" t="str">
        <f>"FES1162687852"</f>
        <v>FES1162687852</v>
      </c>
      <c r="C276" s="7">
        <v>43587</v>
      </c>
      <c r="D276" s="6">
        <v>1</v>
      </c>
      <c r="E276" s="6">
        <v>21706864721</v>
      </c>
      <c r="F276" s="6" t="s">
        <v>16</v>
      </c>
      <c r="G276" s="6" t="s">
        <v>17</v>
      </c>
      <c r="H276" s="6" t="s">
        <v>17</v>
      </c>
      <c r="I276" s="6" t="s">
        <v>610</v>
      </c>
      <c r="J276" s="6" t="s">
        <v>611</v>
      </c>
      <c r="K276" s="7">
        <v>43588</v>
      </c>
      <c r="L276" s="8">
        <v>0.33333333333333331</v>
      </c>
      <c r="M276" s="6" t="s">
        <v>612</v>
      </c>
      <c r="N276" s="6" t="s">
        <v>21</v>
      </c>
      <c r="O276" s="6" t="s">
        <v>22</v>
      </c>
    </row>
    <row r="277" spans="1:15">
      <c r="A277" s="6" t="s">
        <v>15</v>
      </c>
      <c r="B277" s="6" t="str">
        <f>"FES1162687629"</f>
        <v>FES1162687629</v>
      </c>
      <c r="C277" s="7">
        <v>43587</v>
      </c>
      <c r="D277" s="6">
        <v>1</v>
      </c>
      <c r="E277" s="6">
        <v>2170686131</v>
      </c>
      <c r="F277" s="6" t="s">
        <v>16</v>
      </c>
      <c r="G277" s="6" t="s">
        <v>17</v>
      </c>
      <c r="H277" s="6" t="s">
        <v>17</v>
      </c>
      <c r="I277" s="6" t="s">
        <v>613</v>
      </c>
      <c r="J277" s="6" t="s">
        <v>614</v>
      </c>
      <c r="K277" s="7">
        <v>43588</v>
      </c>
      <c r="L277" s="8">
        <v>0.40416666666666662</v>
      </c>
      <c r="M277" s="6" t="s">
        <v>615</v>
      </c>
      <c r="N277" s="6" t="s">
        <v>21</v>
      </c>
      <c r="O277" s="6" t="s">
        <v>22</v>
      </c>
    </row>
    <row r="278" spans="1:15">
      <c r="A278" s="6" t="s">
        <v>15</v>
      </c>
      <c r="B278" s="6" t="str">
        <f>"FES1162687862"</f>
        <v>FES1162687862</v>
      </c>
      <c r="C278" s="7">
        <v>43587</v>
      </c>
      <c r="D278" s="6">
        <v>1</v>
      </c>
      <c r="E278" s="6">
        <v>2170686729</v>
      </c>
      <c r="F278" s="6" t="s">
        <v>16</v>
      </c>
      <c r="G278" s="6" t="s">
        <v>17</v>
      </c>
      <c r="H278" s="6" t="s">
        <v>17</v>
      </c>
      <c r="I278" s="6" t="s">
        <v>29</v>
      </c>
      <c r="J278" s="6" t="s">
        <v>616</v>
      </c>
      <c r="K278" s="7">
        <v>43588</v>
      </c>
      <c r="L278" s="8">
        <v>0.33333333333333331</v>
      </c>
      <c r="M278" s="6" t="s">
        <v>617</v>
      </c>
      <c r="N278" s="6" t="s">
        <v>21</v>
      </c>
      <c r="O278" s="6" t="s">
        <v>22</v>
      </c>
    </row>
    <row r="279" spans="1:15" hidden="1">
      <c r="A279" t="s">
        <v>15</v>
      </c>
      <c r="B279" t="str">
        <f>"FES1162687780"</f>
        <v>FES1162687780</v>
      </c>
      <c r="C279" s="9">
        <v>43587</v>
      </c>
      <c r="D279">
        <v>1</v>
      </c>
      <c r="E279">
        <v>2170686637</v>
      </c>
      <c r="F279" t="s">
        <v>16</v>
      </c>
      <c r="G279" t="s">
        <v>17</v>
      </c>
      <c r="H279" t="s">
        <v>322</v>
      </c>
      <c r="I279" t="s">
        <v>618</v>
      </c>
      <c r="J279" t="s">
        <v>619</v>
      </c>
      <c r="K279" s="9">
        <v>43588</v>
      </c>
      <c r="L279" s="10">
        <v>0.41666666666666669</v>
      </c>
      <c r="M279" t="s">
        <v>620</v>
      </c>
      <c r="N279" t="s">
        <v>621</v>
      </c>
      <c r="O279" t="s">
        <v>22</v>
      </c>
    </row>
    <row r="280" spans="1:15" hidden="1">
      <c r="A280" t="s">
        <v>15</v>
      </c>
      <c r="B280" t="str">
        <f>"FES1162687831"</f>
        <v>FES1162687831</v>
      </c>
      <c r="C280" s="9">
        <v>43587</v>
      </c>
      <c r="D280">
        <v>1</v>
      </c>
      <c r="E280">
        <v>2170686698</v>
      </c>
      <c r="F280" t="s">
        <v>16</v>
      </c>
      <c r="G280" t="s">
        <v>17</v>
      </c>
      <c r="H280" t="s">
        <v>132</v>
      </c>
      <c r="I280" t="s">
        <v>133</v>
      </c>
      <c r="J280" t="s">
        <v>238</v>
      </c>
      <c r="K280" s="9">
        <v>43588</v>
      </c>
      <c r="L280" s="10">
        <v>0.3576388888888889</v>
      </c>
      <c r="M280" t="s">
        <v>239</v>
      </c>
      <c r="N280" t="s">
        <v>622</v>
      </c>
      <c r="O280" t="s">
        <v>22</v>
      </c>
    </row>
    <row r="281" spans="1:15" hidden="1">
      <c r="A281" t="s">
        <v>15</v>
      </c>
      <c r="B281" t="str">
        <f>"FES1162687795"</f>
        <v>FES1162687795</v>
      </c>
      <c r="C281" s="9">
        <v>43587</v>
      </c>
      <c r="D281">
        <v>1</v>
      </c>
      <c r="E281">
        <v>2170686655</v>
      </c>
      <c r="F281" t="s">
        <v>16</v>
      </c>
      <c r="G281" t="s">
        <v>17</v>
      </c>
      <c r="H281" t="s">
        <v>141</v>
      </c>
      <c r="I281" t="s">
        <v>623</v>
      </c>
      <c r="J281" t="s">
        <v>624</v>
      </c>
      <c r="K281" s="9">
        <v>43588</v>
      </c>
      <c r="L281" s="10">
        <v>0.4694444444444445</v>
      </c>
      <c r="M281" t="s">
        <v>625</v>
      </c>
      <c r="N281" t="s">
        <v>626</v>
      </c>
      <c r="O281" t="s">
        <v>22</v>
      </c>
    </row>
    <row r="282" spans="1:15" hidden="1">
      <c r="A282" t="s">
        <v>15</v>
      </c>
      <c r="B282" t="str">
        <f>"FES1162687838"</f>
        <v>FES1162687838</v>
      </c>
      <c r="C282" s="9">
        <v>43587</v>
      </c>
      <c r="D282">
        <v>1</v>
      </c>
      <c r="E282">
        <v>2170686706</v>
      </c>
      <c r="F282" t="s">
        <v>16</v>
      </c>
      <c r="G282" t="s">
        <v>17</v>
      </c>
      <c r="H282" t="s">
        <v>141</v>
      </c>
      <c r="I282" t="s">
        <v>142</v>
      </c>
      <c r="J282" t="s">
        <v>627</v>
      </c>
      <c r="K282" s="9">
        <v>43591</v>
      </c>
      <c r="L282" s="10">
        <v>0.375</v>
      </c>
      <c r="M282" t="s">
        <v>628</v>
      </c>
      <c r="N282" t="s">
        <v>629</v>
      </c>
      <c r="O282" t="s">
        <v>22</v>
      </c>
    </row>
    <row r="283" spans="1:15" hidden="1">
      <c r="A283" t="s">
        <v>15</v>
      </c>
      <c r="B283" t="str">
        <f>"FES1162687864"</f>
        <v>FES1162687864</v>
      </c>
      <c r="C283" s="9">
        <v>43587</v>
      </c>
      <c r="D283">
        <v>1</v>
      </c>
      <c r="E283">
        <v>2170686732</v>
      </c>
      <c r="F283" t="s">
        <v>16</v>
      </c>
      <c r="G283" t="s">
        <v>17</v>
      </c>
      <c r="H283" t="s">
        <v>141</v>
      </c>
      <c r="I283" t="s">
        <v>142</v>
      </c>
      <c r="J283" t="s">
        <v>213</v>
      </c>
      <c r="K283" s="9">
        <v>43588</v>
      </c>
      <c r="L283" s="10">
        <v>0.39930555555555558</v>
      </c>
      <c r="M283" t="s">
        <v>214</v>
      </c>
      <c r="N283" t="s">
        <v>630</v>
      </c>
      <c r="O283" t="s">
        <v>22</v>
      </c>
    </row>
    <row r="284" spans="1:15" hidden="1">
      <c r="A284" t="s">
        <v>15</v>
      </c>
      <c r="B284" t="str">
        <f>"FES1162687849"</f>
        <v>FES1162687849</v>
      </c>
      <c r="C284" s="9">
        <v>43587</v>
      </c>
      <c r="D284">
        <v>1</v>
      </c>
      <c r="E284">
        <v>2170686719</v>
      </c>
      <c r="F284" t="s">
        <v>16</v>
      </c>
      <c r="G284" t="s">
        <v>17</v>
      </c>
      <c r="H284" t="s">
        <v>141</v>
      </c>
      <c r="I284" t="s">
        <v>142</v>
      </c>
      <c r="J284" t="s">
        <v>213</v>
      </c>
      <c r="K284" s="9">
        <v>43588</v>
      </c>
      <c r="L284" s="10">
        <v>0.39930555555555558</v>
      </c>
      <c r="M284" t="s">
        <v>214</v>
      </c>
      <c r="N284" t="s">
        <v>631</v>
      </c>
      <c r="O284" t="s">
        <v>22</v>
      </c>
    </row>
    <row r="285" spans="1:15" hidden="1">
      <c r="A285" t="s">
        <v>15</v>
      </c>
      <c r="B285" t="str">
        <f>"FES1162687873"</f>
        <v>FES1162687873</v>
      </c>
      <c r="C285" s="9">
        <v>43587</v>
      </c>
      <c r="D285">
        <v>1</v>
      </c>
      <c r="E285">
        <v>21706876737</v>
      </c>
      <c r="F285" t="s">
        <v>16</v>
      </c>
      <c r="G285" t="s">
        <v>17</v>
      </c>
      <c r="H285" t="s">
        <v>32</v>
      </c>
      <c r="I285" t="s">
        <v>33</v>
      </c>
      <c r="J285" t="s">
        <v>360</v>
      </c>
      <c r="K285" s="9">
        <v>43588</v>
      </c>
      <c r="L285" s="10">
        <v>0.38541666666666669</v>
      </c>
      <c r="M285" t="s">
        <v>361</v>
      </c>
      <c r="N285" t="s">
        <v>632</v>
      </c>
      <c r="O285" t="s">
        <v>22</v>
      </c>
    </row>
    <row r="286" spans="1:15" hidden="1">
      <c r="A286" t="s">
        <v>15</v>
      </c>
      <c r="B286" t="str">
        <f>"FES1162687837"</f>
        <v>FES1162687837</v>
      </c>
      <c r="C286" s="9">
        <v>43587</v>
      </c>
      <c r="D286">
        <v>1</v>
      </c>
      <c r="E286">
        <v>2170686705</v>
      </c>
      <c r="F286" t="s">
        <v>16</v>
      </c>
      <c r="G286" t="s">
        <v>17</v>
      </c>
      <c r="H286" t="s">
        <v>141</v>
      </c>
      <c r="I286" t="s">
        <v>142</v>
      </c>
      <c r="J286" t="s">
        <v>633</v>
      </c>
      <c r="K286" s="9">
        <v>43588</v>
      </c>
      <c r="L286" s="10">
        <v>0.42777777777777781</v>
      </c>
      <c r="M286" t="s">
        <v>634</v>
      </c>
      <c r="N286" t="s">
        <v>635</v>
      </c>
      <c r="O286" t="s">
        <v>22</v>
      </c>
    </row>
    <row r="287" spans="1:15" hidden="1">
      <c r="A287" t="s">
        <v>15</v>
      </c>
      <c r="B287" t="str">
        <f>"FES1162687893"</f>
        <v>FES1162687893</v>
      </c>
      <c r="C287" s="9">
        <v>43587</v>
      </c>
      <c r="D287">
        <v>1</v>
      </c>
      <c r="E287">
        <v>2170686758</v>
      </c>
      <c r="F287" t="s">
        <v>16</v>
      </c>
      <c r="G287" t="s">
        <v>17</v>
      </c>
      <c r="H287" t="s">
        <v>32</v>
      </c>
      <c r="I287" t="s">
        <v>33</v>
      </c>
      <c r="J287" t="s">
        <v>360</v>
      </c>
      <c r="K287" s="9">
        <v>43588</v>
      </c>
      <c r="L287" s="10">
        <v>0.38541666666666669</v>
      </c>
      <c r="M287" t="s">
        <v>361</v>
      </c>
      <c r="N287" t="s">
        <v>636</v>
      </c>
      <c r="O287" t="s">
        <v>22</v>
      </c>
    </row>
    <row r="288" spans="1:15" hidden="1">
      <c r="A288" t="s">
        <v>15</v>
      </c>
      <c r="B288" t="str">
        <f>"FES1162687793"</f>
        <v>FES1162687793</v>
      </c>
      <c r="C288" s="9">
        <v>43587</v>
      </c>
      <c r="D288">
        <v>1</v>
      </c>
      <c r="E288">
        <v>2170686627</v>
      </c>
      <c r="F288" t="s">
        <v>16</v>
      </c>
      <c r="G288" t="s">
        <v>17</v>
      </c>
      <c r="H288" t="s">
        <v>141</v>
      </c>
      <c r="I288" t="s">
        <v>142</v>
      </c>
      <c r="J288" t="s">
        <v>228</v>
      </c>
      <c r="K288" s="9">
        <v>43588</v>
      </c>
      <c r="L288" s="10">
        <v>0.42152777777777778</v>
      </c>
      <c r="M288" t="s">
        <v>229</v>
      </c>
      <c r="N288" t="s">
        <v>637</v>
      </c>
      <c r="O288" t="s">
        <v>22</v>
      </c>
    </row>
    <row r="289" spans="1:15" ht="15.75" thickBot="1">
      <c r="A289" s="11" t="s">
        <v>15</v>
      </c>
      <c r="B289" s="11" t="str">
        <f>"FES1162687450"</f>
        <v>FES1162687450</v>
      </c>
      <c r="C289" s="12">
        <v>43587</v>
      </c>
      <c r="D289" s="11">
        <v>1</v>
      </c>
      <c r="E289" s="11">
        <v>2170686157</v>
      </c>
      <c r="F289" s="11" t="s">
        <v>16</v>
      </c>
      <c r="G289" s="11" t="s">
        <v>17</v>
      </c>
      <c r="H289" s="11" t="s">
        <v>17</v>
      </c>
      <c r="I289" s="11" t="s">
        <v>64</v>
      </c>
      <c r="J289" s="11" t="s">
        <v>524</v>
      </c>
      <c r="K289" s="12">
        <v>43588</v>
      </c>
      <c r="L289" s="13">
        <v>0.33333333333333331</v>
      </c>
      <c r="M289" s="11" t="s">
        <v>56</v>
      </c>
      <c r="N289" s="11" t="s">
        <v>21</v>
      </c>
      <c r="O289" s="11" t="s">
        <v>22</v>
      </c>
    </row>
    <row r="290" spans="1:15" hidden="1">
      <c r="A290" t="s">
        <v>15</v>
      </c>
      <c r="B290" t="str">
        <f>"FES1162687783"</f>
        <v>FES1162687783</v>
      </c>
      <c r="C290" s="9">
        <v>43587</v>
      </c>
      <c r="D290">
        <v>1</v>
      </c>
      <c r="E290">
        <v>2170686641</v>
      </c>
      <c r="F290" t="s">
        <v>16</v>
      </c>
      <c r="G290" t="s">
        <v>17</v>
      </c>
      <c r="H290" t="s">
        <v>141</v>
      </c>
      <c r="I290" t="s">
        <v>142</v>
      </c>
      <c r="J290" t="s">
        <v>213</v>
      </c>
      <c r="K290" s="9">
        <v>43588</v>
      </c>
      <c r="L290" s="10">
        <v>0.39930555555555558</v>
      </c>
      <c r="M290" t="s">
        <v>214</v>
      </c>
      <c r="N290" t="s">
        <v>638</v>
      </c>
      <c r="O290" t="s">
        <v>22</v>
      </c>
    </row>
    <row r="291" spans="1:15" hidden="1">
      <c r="A291" t="s">
        <v>15</v>
      </c>
      <c r="B291" t="str">
        <f>"FES1162687845"</f>
        <v>FES1162687845</v>
      </c>
      <c r="C291" s="9">
        <v>43587</v>
      </c>
      <c r="D291">
        <v>1</v>
      </c>
      <c r="E291">
        <v>2170686716</v>
      </c>
      <c r="F291" t="s">
        <v>16</v>
      </c>
      <c r="G291" t="s">
        <v>17</v>
      </c>
      <c r="H291" t="s">
        <v>132</v>
      </c>
      <c r="I291" t="s">
        <v>133</v>
      </c>
      <c r="J291" t="s">
        <v>639</v>
      </c>
      <c r="K291" s="9">
        <v>43588</v>
      </c>
      <c r="L291" s="10">
        <v>0.38680555555555557</v>
      </c>
      <c r="M291" t="s">
        <v>640</v>
      </c>
      <c r="N291" t="s">
        <v>641</v>
      </c>
      <c r="O291" t="s">
        <v>22</v>
      </c>
    </row>
    <row r="292" spans="1:15" hidden="1">
      <c r="A292" t="s">
        <v>15</v>
      </c>
      <c r="B292" t="str">
        <f>"FES1162687868"</f>
        <v>FES1162687868</v>
      </c>
      <c r="C292" s="9">
        <v>43588</v>
      </c>
      <c r="D292">
        <v>1</v>
      </c>
      <c r="E292">
        <v>2170682812</v>
      </c>
      <c r="F292" t="s">
        <v>16</v>
      </c>
      <c r="G292" t="s">
        <v>17</v>
      </c>
      <c r="H292" t="s">
        <v>43</v>
      </c>
      <c r="I292" t="s">
        <v>44</v>
      </c>
      <c r="J292" t="s">
        <v>642</v>
      </c>
      <c r="K292" s="9">
        <v>43591</v>
      </c>
      <c r="L292" s="10">
        <v>0.36249999999999999</v>
      </c>
      <c r="M292" t="s">
        <v>643</v>
      </c>
      <c r="N292" t="s">
        <v>644</v>
      </c>
      <c r="O292" t="s">
        <v>22</v>
      </c>
    </row>
    <row r="293" spans="1:15">
      <c r="A293" s="6" t="s">
        <v>15</v>
      </c>
      <c r="B293" s="6" t="str">
        <f>"FES1162688106"</f>
        <v>FES1162688106</v>
      </c>
      <c r="C293" s="7">
        <v>43588</v>
      </c>
      <c r="D293" s="6">
        <v>1</v>
      </c>
      <c r="E293" s="6">
        <v>2170686594</v>
      </c>
      <c r="F293" s="6" t="s">
        <v>16</v>
      </c>
      <c r="G293" s="6" t="s">
        <v>17</v>
      </c>
      <c r="H293" s="6" t="s">
        <v>17</v>
      </c>
      <c r="I293" s="6" t="s">
        <v>103</v>
      </c>
      <c r="J293" s="6" t="s">
        <v>616</v>
      </c>
      <c r="K293" s="7">
        <v>43591</v>
      </c>
      <c r="L293" s="8">
        <v>0.4291666666666667</v>
      </c>
      <c r="M293" s="6" t="s">
        <v>645</v>
      </c>
      <c r="N293" s="6" t="s">
        <v>21</v>
      </c>
      <c r="O293" s="6" t="s">
        <v>22</v>
      </c>
    </row>
    <row r="294" spans="1:15" hidden="1">
      <c r="A294" t="s">
        <v>15</v>
      </c>
      <c r="B294" t="str">
        <f>"FES1162687835"</f>
        <v>FES1162687835</v>
      </c>
      <c r="C294" s="9">
        <v>43588</v>
      </c>
      <c r="D294">
        <v>1</v>
      </c>
      <c r="E294">
        <v>2170686703</v>
      </c>
      <c r="F294" t="s">
        <v>16</v>
      </c>
      <c r="G294" t="s">
        <v>17</v>
      </c>
      <c r="H294" t="s">
        <v>43</v>
      </c>
      <c r="I294" t="s">
        <v>44</v>
      </c>
      <c r="J294" t="s">
        <v>51</v>
      </c>
      <c r="K294" s="9">
        <v>43591</v>
      </c>
      <c r="L294" s="10">
        <v>0.41666666666666669</v>
      </c>
      <c r="M294" t="s">
        <v>646</v>
      </c>
      <c r="N294" t="s">
        <v>647</v>
      </c>
      <c r="O294" t="s">
        <v>22</v>
      </c>
    </row>
    <row r="295" spans="1:15" hidden="1">
      <c r="A295" t="s">
        <v>15</v>
      </c>
      <c r="B295" t="str">
        <f>"FES1162687681"</f>
        <v>FES1162687681</v>
      </c>
      <c r="C295" s="9">
        <v>43588</v>
      </c>
      <c r="D295">
        <v>1</v>
      </c>
      <c r="E295">
        <v>2170684135</v>
      </c>
      <c r="F295" t="s">
        <v>16</v>
      </c>
      <c r="G295" t="s">
        <v>17</v>
      </c>
      <c r="H295" t="s">
        <v>43</v>
      </c>
      <c r="I295" t="s">
        <v>44</v>
      </c>
      <c r="J295" t="s">
        <v>72</v>
      </c>
      <c r="K295" s="9">
        <v>43591</v>
      </c>
      <c r="L295" s="10">
        <v>0.4465277777777778</v>
      </c>
      <c r="M295" t="s">
        <v>648</v>
      </c>
      <c r="N295" t="s">
        <v>649</v>
      </c>
      <c r="O295" t="s">
        <v>22</v>
      </c>
    </row>
    <row r="296" spans="1:15" hidden="1">
      <c r="A296" t="s">
        <v>15</v>
      </c>
      <c r="B296" t="str">
        <f>"FES1162687711"</f>
        <v>FES1162687711</v>
      </c>
      <c r="C296" s="9">
        <v>43588</v>
      </c>
      <c r="D296">
        <v>1</v>
      </c>
      <c r="E296">
        <v>2170685298</v>
      </c>
      <c r="F296" t="s">
        <v>16</v>
      </c>
      <c r="G296" t="s">
        <v>17</v>
      </c>
      <c r="H296" t="s">
        <v>43</v>
      </c>
      <c r="I296" t="s">
        <v>44</v>
      </c>
      <c r="J296" t="s">
        <v>48</v>
      </c>
      <c r="K296" s="9">
        <v>43591</v>
      </c>
      <c r="L296" s="10">
        <v>0.33333333333333331</v>
      </c>
      <c r="M296" t="s">
        <v>650</v>
      </c>
      <c r="N296" t="s">
        <v>651</v>
      </c>
      <c r="O296" t="s">
        <v>22</v>
      </c>
    </row>
    <row r="297" spans="1:15" hidden="1">
      <c r="A297" t="s">
        <v>15</v>
      </c>
      <c r="B297" t="str">
        <f>"FES1162687712"</f>
        <v>FES1162687712</v>
      </c>
      <c r="C297" s="9">
        <v>43588</v>
      </c>
      <c r="D297">
        <v>1</v>
      </c>
      <c r="E297">
        <v>2170685338</v>
      </c>
      <c r="F297" t="s">
        <v>16</v>
      </c>
      <c r="G297" t="s">
        <v>17</v>
      </c>
      <c r="H297" t="s">
        <v>43</v>
      </c>
      <c r="I297" t="s">
        <v>44</v>
      </c>
      <c r="J297" t="s">
        <v>114</v>
      </c>
      <c r="K297" s="9">
        <v>43591</v>
      </c>
      <c r="L297" s="10">
        <v>0.40277777777777773</v>
      </c>
      <c r="M297" t="s">
        <v>652</v>
      </c>
      <c r="N297" t="s">
        <v>653</v>
      </c>
      <c r="O297" t="s">
        <v>22</v>
      </c>
    </row>
    <row r="298" spans="1:15" hidden="1">
      <c r="A298" t="s">
        <v>15</v>
      </c>
      <c r="B298" t="str">
        <f>"FES1162687834"</f>
        <v>FES1162687834</v>
      </c>
      <c r="C298" s="9">
        <v>43588</v>
      </c>
      <c r="D298">
        <v>1</v>
      </c>
      <c r="E298" t="s">
        <v>654</v>
      </c>
      <c r="F298" t="s">
        <v>16</v>
      </c>
      <c r="G298" t="s">
        <v>17</v>
      </c>
      <c r="H298" t="s">
        <v>43</v>
      </c>
      <c r="I298" t="s">
        <v>44</v>
      </c>
      <c r="J298" t="s">
        <v>207</v>
      </c>
      <c r="K298" s="9">
        <v>43591</v>
      </c>
      <c r="L298" s="10">
        <v>0.41666666666666669</v>
      </c>
      <c r="M298" t="s">
        <v>208</v>
      </c>
      <c r="N298" t="s">
        <v>655</v>
      </c>
      <c r="O298" t="s">
        <v>22</v>
      </c>
    </row>
    <row r="299" spans="1:15" hidden="1">
      <c r="A299" t="s">
        <v>15</v>
      </c>
      <c r="B299" t="str">
        <f>"FES1162687814"</f>
        <v>FES1162687814</v>
      </c>
      <c r="C299" s="9">
        <v>43588</v>
      </c>
      <c r="D299">
        <v>1</v>
      </c>
      <c r="E299">
        <v>2170686679</v>
      </c>
      <c r="F299" t="s">
        <v>16</v>
      </c>
      <c r="G299" t="s">
        <v>17</v>
      </c>
      <c r="H299" t="s">
        <v>43</v>
      </c>
      <c r="I299" t="s">
        <v>54</v>
      </c>
      <c r="J299" t="s">
        <v>216</v>
      </c>
      <c r="K299" s="9">
        <v>43591</v>
      </c>
      <c r="L299" s="10">
        <v>0.41666666666666669</v>
      </c>
      <c r="M299" t="s">
        <v>656</v>
      </c>
      <c r="N299" t="s">
        <v>657</v>
      </c>
      <c r="O299" t="s">
        <v>22</v>
      </c>
    </row>
    <row r="300" spans="1:15" hidden="1">
      <c r="A300" t="s">
        <v>15</v>
      </c>
      <c r="B300" t="str">
        <f>"FES1162687722"</f>
        <v>FES1162687722</v>
      </c>
      <c r="C300" s="9">
        <v>43588</v>
      </c>
      <c r="D300">
        <v>1</v>
      </c>
      <c r="E300">
        <v>2170686474</v>
      </c>
      <c r="F300" t="s">
        <v>16</v>
      </c>
      <c r="G300" t="s">
        <v>17</v>
      </c>
      <c r="H300" t="s">
        <v>43</v>
      </c>
      <c r="I300" t="s">
        <v>54</v>
      </c>
      <c r="J300" t="s">
        <v>216</v>
      </c>
      <c r="K300" s="9">
        <v>43591</v>
      </c>
      <c r="L300" s="10">
        <v>0.41666666666666669</v>
      </c>
      <c r="M300" t="s">
        <v>656</v>
      </c>
      <c r="N300" t="s">
        <v>658</v>
      </c>
      <c r="O300" t="s">
        <v>22</v>
      </c>
    </row>
    <row r="301" spans="1:15" hidden="1">
      <c r="A301" t="s">
        <v>15</v>
      </c>
      <c r="B301" t="str">
        <f>"FES1162687797"</f>
        <v>FES1162687797</v>
      </c>
      <c r="C301" s="9">
        <v>43588</v>
      </c>
      <c r="D301">
        <v>1</v>
      </c>
      <c r="E301">
        <v>2170686659</v>
      </c>
      <c r="F301" t="s">
        <v>16</v>
      </c>
      <c r="G301" t="s">
        <v>17</v>
      </c>
      <c r="H301" t="s">
        <v>43</v>
      </c>
      <c r="I301" t="s">
        <v>54</v>
      </c>
      <c r="J301" t="s">
        <v>659</v>
      </c>
      <c r="K301" s="9">
        <v>43591</v>
      </c>
      <c r="L301" s="10">
        <v>0.41666666666666669</v>
      </c>
      <c r="M301" t="s">
        <v>660</v>
      </c>
      <c r="N301" t="s">
        <v>661</v>
      </c>
      <c r="O301" t="s">
        <v>22</v>
      </c>
    </row>
    <row r="302" spans="1:15" hidden="1">
      <c r="A302" t="s">
        <v>15</v>
      </c>
      <c r="B302" t="str">
        <f>"FES1162687841"</f>
        <v>FES1162687841</v>
      </c>
      <c r="C302" s="9">
        <v>43588</v>
      </c>
      <c r="D302">
        <v>1</v>
      </c>
      <c r="E302">
        <v>2170686709</v>
      </c>
      <c r="F302" t="s">
        <v>16</v>
      </c>
      <c r="G302" t="s">
        <v>17</v>
      </c>
      <c r="H302" t="s">
        <v>43</v>
      </c>
      <c r="I302" t="s">
        <v>75</v>
      </c>
      <c r="J302" t="s">
        <v>222</v>
      </c>
      <c r="K302" s="9">
        <v>43591</v>
      </c>
      <c r="L302" s="10">
        <v>0.42986111111111108</v>
      </c>
      <c r="M302" t="s">
        <v>88</v>
      </c>
      <c r="N302" t="s">
        <v>662</v>
      </c>
      <c r="O302" t="s">
        <v>22</v>
      </c>
    </row>
    <row r="303" spans="1:15" hidden="1">
      <c r="A303" t="s">
        <v>15</v>
      </c>
      <c r="B303" t="str">
        <f>"FES1162687786"</f>
        <v>FES1162687786</v>
      </c>
      <c r="C303" s="9">
        <v>43588</v>
      </c>
      <c r="D303">
        <v>1</v>
      </c>
      <c r="E303">
        <v>2170686646</v>
      </c>
      <c r="F303" t="s">
        <v>16</v>
      </c>
      <c r="G303" t="s">
        <v>17</v>
      </c>
      <c r="H303" t="s">
        <v>43</v>
      </c>
      <c r="I303" t="s">
        <v>75</v>
      </c>
      <c r="J303" t="s">
        <v>76</v>
      </c>
      <c r="K303" s="9">
        <v>43591</v>
      </c>
      <c r="L303" s="10">
        <v>0.4375</v>
      </c>
      <c r="M303" t="s">
        <v>663</v>
      </c>
      <c r="N303" t="s">
        <v>664</v>
      </c>
      <c r="O303" t="s">
        <v>22</v>
      </c>
    </row>
    <row r="304" spans="1:15" hidden="1">
      <c r="A304" t="s">
        <v>15</v>
      </c>
      <c r="B304" t="str">
        <f>"FES1162687825"</f>
        <v>FES1162687825</v>
      </c>
      <c r="C304" s="9">
        <v>43588</v>
      </c>
      <c r="D304">
        <v>1</v>
      </c>
      <c r="E304">
        <v>2170686692</v>
      </c>
      <c r="F304" t="s">
        <v>16</v>
      </c>
      <c r="G304" t="s">
        <v>17</v>
      </c>
      <c r="H304" t="s">
        <v>43</v>
      </c>
      <c r="I304" t="s">
        <v>44</v>
      </c>
      <c r="J304" t="s">
        <v>665</v>
      </c>
      <c r="K304" s="9">
        <v>43591</v>
      </c>
      <c r="L304" s="10">
        <v>0.3298611111111111</v>
      </c>
      <c r="M304" t="s">
        <v>666</v>
      </c>
      <c r="N304" t="s">
        <v>667</v>
      </c>
      <c r="O304" t="s">
        <v>22</v>
      </c>
    </row>
    <row r="305" spans="1:15" hidden="1">
      <c r="A305" t="s">
        <v>15</v>
      </c>
      <c r="B305" t="str">
        <f>"FES1162687812"</f>
        <v>FES1162687812</v>
      </c>
      <c r="C305" s="9">
        <v>43588</v>
      </c>
      <c r="D305">
        <v>1</v>
      </c>
      <c r="E305">
        <v>2170686677</v>
      </c>
      <c r="F305" t="s">
        <v>16</v>
      </c>
      <c r="G305" t="s">
        <v>17</v>
      </c>
      <c r="H305" t="s">
        <v>43</v>
      </c>
      <c r="I305" t="s">
        <v>44</v>
      </c>
      <c r="J305" t="s">
        <v>207</v>
      </c>
      <c r="K305" s="9">
        <v>43591</v>
      </c>
      <c r="L305" s="10">
        <v>0.41666666666666669</v>
      </c>
      <c r="M305" t="s">
        <v>208</v>
      </c>
      <c r="N305" t="s">
        <v>668</v>
      </c>
      <c r="O305" t="s">
        <v>22</v>
      </c>
    </row>
    <row r="306" spans="1:15" hidden="1">
      <c r="A306" t="s">
        <v>15</v>
      </c>
      <c r="B306" t="str">
        <f>"FES1162687714"</f>
        <v>FES1162687714</v>
      </c>
      <c r="C306" s="9">
        <v>43588</v>
      </c>
      <c r="D306">
        <v>1</v>
      </c>
      <c r="E306">
        <v>2170686463</v>
      </c>
      <c r="F306" t="s">
        <v>16</v>
      </c>
      <c r="G306" t="s">
        <v>17</v>
      </c>
      <c r="H306" t="s">
        <v>43</v>
      </c>
      <c r="I306" t="s">
        <v>44</v>
      </c>
      <c r="J306" t="s">
        <v>256</v>
      </c>
      <c r="K306" s="9">
        <v>43591</v>
      </c>
      <c r="L306" s="10">
        <v>0.34583333333333338</v>
      </c>
      <c r="M306" t="s">
        <v>669</v>
      </c>
      <c r="N306" t="s">
        <v>670</v>
      </c>
      <c r="O306" t="s">
        <v>22</v>
      </c>
    </row>
    <row r="307" spans="1:15" hidden="1">
      <c r="A307" t="s">
        <v>15</v>
      </c>
      <c r="B307" t="str">
        <f>"FES1162687788"</f>
        <v>FES1162687788</v>
      </c>
      <c r="C307" s="9">
        <v>43588</v>
      </c>
      <c r="D307">
        <v>1</v>
      </c>
      <c r="E307">
        <v>2170673429</v>
      </c>
      <c r="F307" t="s">
        <v>16</v>
      </c>
      <c r="G307" t="s">
        <v>17</v>
      </c>
      <c r="H307" t="s">
        <v>290</v>
      </c>
      <c r="I307" t="s">
        <v>291</v>
      </c>
      <c r="J307" t="s">
        <v>671</v>
      </c>
      <c r="K307" s="9">
        <v>43591</v>
      </c>
      <c r="L307" s="10">
        <v>0.4236111111111111</v>
      </c>
      <c r="M307" t="s">
        <v>672</v>
      </c>
      <c r="N307" t="s">
        <v>673</v>
      </c>
      <c r="O307" t="s">
        <v>22</v>
      </c>
    </row>
    <row r="308" spans="1:15" hidden="1">
      <c r="A308" t="s">
        <v>15</v>
      </c>
      <c r="B308" t="str">
        <f>"FES1162687778"</f>
        <v>FES1162687778</v>
      </c>
      <c r="C308" s="9">
        <v>43588</v>
      </c>
      <c r="D308">
        <v>1</v>
      </c>
      <c r="E308">
        <v>2170686636</v>
      </c>
      <c r="F308" t="s">
        <v>16</v>
      </c>
      <c r="G308" t="s">
        <v>17</v>
      </c>
      <c r="H308" t="s">
        <v>290</v>
      </c>
      <c r="I308" t="s">
        <v>291</v>
      </c>
      <c r="J308" t="s">
        <v>297</v>
      </c>
      <c r="K308" s="9">
        <v>43591</v>
      </c>
      <c r="L308" s="10">
        <v>0.3666666666666667</v>
      </c>
      <c r="M308" t="s">
        <v>298</v>
      </c>
      <c r="N308" t="s">
        <v>674</v>
      </c>
      <c r="O308" t="s">
        <v>22</v>
      </c>
    </row>
    <row r="309" spans="1:15" hidden="1">
      <c r="A309" t="s">
        <v>15</v>
      </c>
      <c r="B309" t="str">
        <f>"FES1162687784"</f>
        <v>FES1162687784</v>
      </c>
      <c r="C309" s="9">
        <v>43588</v>
      </c>
      <c r="D309">
        <v>1</v>
      </c>
      <c r="E309">
        <v>2170686642</v>
      </c>
      <c r="F309" t="s">
        <v>16</v>
      </c>
      <c r="G309" t="s">
        <v>17</v>
      </c>
      <c r="H309" t="s">
        <v>290</v>
      </c>
      <c r="I309" t="s">
        <v>291</v>
      </c>
      <c r="J309" t="s">
        <v>297</v>
      </c>
      <c r="K309" s="9">
        <v>43591</v>
      </c>
      <c r="L309" s="10">
        <v>0.36527777777777781</v>
      </c>
      <c r="M309" t="s">
        <v>298</v>
      </c>
      <c r="N309" t="s">
        <v>675</v>
      </c>
      <c r="O309" t="s">
        <v>22</v>
      </c>
    </row>
    <row r="310" spans="1:15" hidden="1">
      <c r="A310" t="s">
        <v>15</v>
      </c>
      <c r="B310" t="str">
        <f>"FES1162687894"</f>
        <v>FES1162687894</v>
      </c>
      <c r="C310" s="9">
        <v>43588</v>
      </c>
      <c r="D310">
        <v>1</v>
      </c>
      <c r="E310">
        <v>217068762</v>
      </c>
      <c r="F310" t="s">
        <v>16</v>
      </c>
      <c r="G310" t="s">
        <v>17</v>
      </c>
      <c r="H310" t="s">
        <v>290</v>
      </c>
      <c r="I310" t="s">
        <v>309</v>
      </c>
      <c r="J310" t="s">
        <v>676</v>
      </c>
      <c r="K310" s="9">
        <v>43591</v>
      </c>
      <c r="L310" s="10">
        <v>0.40277777777777773</v>
      </c>
      <c r="M310" t="s">
        <v>677</v>
      </c>
      <c r="N310" t="s">
        <v>678</v>
      </c>
      <c r="O310" t="s">
        <v>22</v>
      </c>
    </row>
    <row r="311" spans="1:15" hidden="1">
      <c r="A311" t="s">
        <v>15</v>
      </c>
      <c r="B311" t="str">
        <f>"FES1162687745"</f>
        <v>FES1162687745</v>
      </c>
      <c r="C311" s="9">
        <v>43588</v>
      </c>
      <c r="D311">
        <v>1</v>
      </c>
      <c r="E311">
        <v>2170686594</v>
      </c>
      <c r="F311" t="s">
        <v>16</v>
      </c>
      <c r="G311" t="s">
        <v>17</v>
      </c>
      <c r="H311" t="s">
        <v>290</v>
      </c>
      <c r="I311" t="s">
        <v>291</v>
      </c>
      <c r="J311" t="s">
        <v>297</v>
      </c>
      <c r="K311" s="9">
        <v>43591</v>
      </c>
      <c r="L311" s="10">
        <v>0.3659722222222222</v>
      </c>
      <c r="M311" t="s">
        <v>298</v>
      </c>
      <c r="N311" t="s">
        <v>679</v>
      </c>
      <c r="O311" t="s">
        <v>22</v>
      </c>
    </row>
    <row r="312" spans="1:15" hidden="1">
      <c r="A312" t="s">
        <v>15</v>
      </c>
      <c r="B312" t="str">
        <f>"FES1162687869"</f>
        <v>FES1162687869</v>
      </c>
      <c r="C312" s="9">
        <v>43588</v>
      </c>
      <c r="D312">
        <v>1</v>
      </c>
      <c r="E312">
        <v>2170686530</v>
      </c>
      <c r="F312" t="s">
        <v>16</v>
      </c>
      <c r="G312" t="s">
        <v>17</v>
      </c>
      <c r="H312" t="s">
        <v>37</v>
      </c>
      <c r="I312" t="s">
        <v>38</v>
      </c>
      <c r="J312" t="s">
        <v>349</v>
      </c>
      <c r="K312" s="9">
        <v>43591</v>
      </c>
      <c r="L312" s="10">
        <v>0.39583333333333331</v>
      </c>
      <c r="M312" t="s">
        <v>680</v>
      </c>
      <c r="N312" t="s">
        <v>681</v>
      </c>
      <c r="O312" t="s">
        <v>22</v>
      </c>
    </row>
    <row r="313" spans="1:15" hidden="1">
      <c r="A313" t="s">
        <v>15</v>
      </c>
      <c r="B313" t="str">
        <f>"FES1162687884"</f>
        <v>FES1162687884</v>
      </c>
      <c r="C313" s="9">
        <v>43588</v>
      </c>
      <c r="D313">
        <v>1</v>
      </c>
      <c r="E313">
        <v>2170689847</v>
      </c>
      <c r="F313" t="s">
        <v>16</v>
      </c>
      <c r="G313" t="s">
        <v>17</v>
      </c>
      <c r="H313" t="s">
        <v>32</v>
      </c>
      <c r="I313" t="s">
        <v>33</v>
      </c>
      <c r="J313" t="s">
        <v>34</v>
      </c>
      <c r="K313" s="9">
        <v>43591</v>
      </c>
      <c r="L313" s="10">
        <v>0.34722222222222227</v>
      </c>
      <c r="M313" t="s">
        <v>35</v>
      </c>
      <c r="N313" t="s">
        <v>682</v>
      </c>
      <c r="O313" t="s">
        <v>22</v>
      </c>
    </row>
    <row r="314" spans="1:15" hidden="1">
      <c r="A314" t="s">
        <v>15</v>
      </c>
      <c r="B314" t="str">
        <f>"FES1162687854"</f>
        <v>FES1162687854</v>
      </c>
      <c r="C314" s="9">
        <v>43588</v>
      </c>
      <c r="D314">
        <v>1</v>
      </c>
      <c r="E314">
        <v>2170685617</v>
      </c>
      <c r="F314" t="s">
        <v>16</v>
      </c>
      <c r="G314" t="s">
        <v>17</v>
      </c>
      <c r="H314" t="s">
        <v>32</v>
      </c>
      <c r="I314" t="s">
        <v>269</v>
      </c>
      <c r="J314" t="s">
        <v>683</v>
      </c>
      <c r="K314" s="9">
        <v>43591</v>
      </c>
      <c r="L314" s="10">
        <v>0.36805555555555558</v>
      </c>
      <c r="M314" t="s">
        <v>684</v>
      </c>
      <c r="N314" t="s">
        <v>685</v>
      </c>
      <c r="O314" t="s">
        <v>22</v>
      </c>
    </row>
    <row r="315" spans="1:15" hidden="1">
      <c r="A315" t="s">
        <v>15</v>
      </c>
      <c r="B315" t="str">
        <f>"FES1162687818"</f>
        <v>FES1162687818</v>
      </c>
      <c r="C315" s="9">
        <v>43588</v>
      </c>
      <c r="D315">
        <v>1</v>
      </c>
      <c r="E315">
        <v>2170686685</v>
      </c>
      <c r="F315" t="s">
        <v>16</v>
      </c>
      <c r="G315" t="s">
        <v>17</v>
      </c>
      <c r="H315" t="s">
        <v>32</v>
      </c>
      <c r="I315" t="s">
        <v>33</v>
      </c>
      <c r="J315" t="s">
        <v>360</v>
      </c>
      <c r="K315" s="9">
        <v>43591</v>
      </c>
      <c r="L315" s="10">
        <v>0.37152777777777773</v>
      </c>
      <c r="M315" t="s">
        <v>686</v>
      </c>
      <c r="N315" t="s">
        <v>687</v>
      </c>
      <c r="O315" t="s">
        <v>22</v>
      </c>
    </row>
    <row r="316" spans="1:15" hidden="1">
      <c r="A316" t="s">
        <v>15</v>
      </c>
      <c r="B316" t="str">
        <f>"FES1162687856"</f>
        <v>FES1162687856</v>
      </c>
      <c r="C316" s="9">
        <v>43588</v>
      </c>
      <c r="D316">
        <v>1</v>
      </c>
      <c r="E316">
        <v>2170685960</v>
      </c>
      <c r="F316" t="s">
        <v>16</v>
      </c>
      <c r="G316" t="s">
        <v>17</v>
      </c>
      <c r="H316" t="s">
        <v>32</v>
      </c>
      <c r="I316" t="s">
        <v>269</v>
      </c>
      <c r="J316" t="s">
        <v>683</v>
      </c>
      <c r="K316" s="9">
        <v>43591</v>
      </c>
      <c r="L316" s="10">
        <v>0.36805555555555558</v>
      </c>
      <c r="M316" t="s">
        <v>684</v>
      </c>
      <c r="N316" t="s">
        <v>688</v>
      </c>
      <c r="O316" t="s">
        <v>22</v>
      </c>
    </row>
    <row r="317" spans="1:15">
      <c r="A317" s="6" t="s">
        <v>15</v>
      </c>
      <c r="B317" s="6" t="str">
        <f>"FES1162687963"</f>
        <v>FES1162687963</v>
      </c>
      <c r="C317" s="7">
        <v>43588</v>
      </c>
      <c r="D317" s="6">
        <v>1</v>
      </c>
      <c r="E317" s="6">
        <v>2170686783</v>
      </c>
      <c r="F317" s="6" t="s">
        <v>16</v>
      </c>
      <c r="G317" s="6" t="s">
        <v>17</v>
      </c>
      <c r="H317" s="6" t="s">
        <v>17</v>
      </c>
      <c r="I317" s="6" t="s">
        <v>18</v>
      </c>
      <c r="J317" s="6" t="s">
        <v>689</v>
      </c>
      <c r="K317" s="7">
        <v>43591</v>
      </c>
      <c r="L317" s="8">
        <v>0.36736111111111108</v>
      </c>
      <c r="M317" s="6" t="s">
        <v>690</v>
      </c>
      <c r="N317" s="6" t="s">
        <v>21</v>
      </c>
      <c r="O317" s="6" t="s">
        <v>22</v>
      </c>
    </row>
    <row r="318" spans="1:15" hidden="1">
      <c r="A318" t="s">
        <v>15</v>
      </c>
      <c r="B318" t="str">
        <f>"FES1162687817"</f>
        <v>FES1162687817</v>
      </c>
      <c r="C318" s="9">
        <v>43588</v>
      </c>
      <c r="D318">
        <v>1</v>
      </c>
      <c r="E318">
        <v>2170686683</v>
      </c>
      <c r="F318" t="s">
        <v>16</v>
      </c>
      <c r="G318" t="s">
        <v>17</v>
      </c>
      <c r="H318" t="s">
        <v>290</v>
      </c>
      <c r="I318" t="s">
        <v>291</v>
      </c>
      <c r="J318" t="s">
        <v>671</v>
      </c>
      <c r="K318" s="9">
        <v>43591</v>
      </c>
      <c r="L318" s="10">
        <v>0.38194444444444442</v>
      </c>
      <c r="M318" t="s">
        <v>481</v>
      </c>
      <c r="N318" t="s">
        <v>691</v>
      </c>
      <c r="O318" t="s">
        <v>22</v>
      </c>
    </row>
    <row r="319" spans="1:15" hidden="1">
      <c r="A319" t="s">
        <v>15</v>
      </c>
      <c r="B319" t="str">
        <f>"FES1162687960"</f>
        <v>FES1162687960</v>
      </c>
      <c r="C319" s="9">
        <v>43588</v>
      </c>
      <c r="D319">
        <v>1</v>
      </c>
      <c r="E319">
        <v>2170686778</v>
      </c>
      <c r="F319" t="s">
        <v>16</v>
      </c>
      <c r="G319" t="s">
        <v>17</v>
      </c>
      <c r="H319" t="s">
        <v>59</v>
      </c>
      <c r="I319" t="s">
        <v>64</v>
      </c>
      <c r="J319" t="s">
        <v>509</v>
      </c>
      <c r="K319" s="9">
        <v>43591</v>
      </c>
      <c r="L319" s="10">
        <v>0.3444444444444445</v>
      </c>
      <c r="M319" t="s">
        <v>692</v>
      </c>
      <c r="N319" t="s">
        <v>693</v>
      </c>
      <c r="O319" t="s">
        <v>22</v>
      </c>
    </row>
    <row r="320" spans="1:15">
      <c r="A320" s="6" t="s">
        <v>15</v>
      </c>
      <c r="B320" s="6" t="str">
        <f>"FES1162687965"</f>
        <v>FES1162687965</v>
      </c>
      <c r="C320" s="7">
        <v>43588</v>
      </c>
      <c r="D320" s="6">
        <v>1</v>
      </c>
      <c r="E320" s="6">
        <v>2170686786</v>
      </c>
      <c r="F320" s="6" t="s">
        <v>16</v>
      </c>
      <c r="G320" s="6" t="s">
        <v>17</v>
      </c>
      <c r="H320" s="6" t="s">
        <v>17</v>
      </c>
      <c r="I320" s="6" t="s">
        <v>64</v>
      </c>
      <c r="J320" s="6" t="s">
        <v>98</v>
      </c>
      <c r="K320" s="7">
        <v>43591</v>
      </c>
      <c r="L320" s="8">
        <v>0.33680555555555558</v>
      </c>
      <c r="M320" s="6" t="s">
        <v>694</v>
      </c>
      <c r="N320" s="6" t="s">
        <v>21</v>
      </c>
      <c r="O320" s="6" t="s">
        <v>22</v>
      </c>
    </row>
    <row r="321" spans="1:15">
      <c r="A321" s="6" t="s">
        <v>15</v>
      </c>
      <c r="B321" s="6" t="str">
        <f>"FES1162687976"</f>
        <v>FES1162687976</v>
      </c>
      <c r="C321" s="7">
        <v>43588</v>
      </c>
      <c r="D321" s="6">
        <v>1</v>
      </c>
      <c r="E321" s="6">
        <v>2170686798</v>
      </c>
      <c r="F321" s="6" t="s">
        <v>16</v>
      </c>
      <c r="G321" s="6" t="s">
        <v>17</v>
      </c>
      <c r="H321" s="6" t="s">
        <v>17</v>
      </c>
      <c r="I321" s="6" t="s">
        <v>103</v>
      </c>
      <c r="J321" s="6" t="s">
        <v>616</v>
      </c>
      <c r="K321" s="7">
        <v>43591</v>
      </c>
      <c r="L321" s="8">
        <v>0.4291666666666667</v>
      </c>
      <c r="M321" s="6" t="s">
        <v>645</v>
      </c>
      <c r="N321" s="6" t="s">
        <v>21</v>
      </c>
      <c r="O321" s="6" t="s">
        <v>22</v>
      </c>
    </row>
    <row r="322" spans="1:15">
      <c r="A322" s="6" t="s">
        <v>15</v>
      </c>
      <c r="B322" s="6" t="str">
        <f>"FES1162687951"</f>
        <v>FES1162687951</v>
      </c>
      <c r="C322" s="7">
        <v>43588</v>
      </c>
      <c r="D322" s="6">
        <v>1</v>
      </c>
      <c r="E322" s="6">
        <v>2170686468</v>
      </c>
      <c r="F322" s="6" t="s">
        <v>16</v>
      </c>
      <c r="G322" s="6" t="s">
        <v>17</v>
      </c>
      <c r="H322" s="6" t="s">
        <v>17</v>
      </c>
      <c r="I322" s="6" t="s">
        <v>103</v>
      </c>
      <c r="J322" s="6" t="s">
        <v>695</v>
      </c>
      <c r="K322" s="7">
        <v>43591</v>
      </c>
      <c r="L322" s="8">
        <v>0.43263888888888885</v>
      </c>
      <c r="M322" s="6" t="s">
        <v>696</v>
      </c>
      <c r="N322" s="6" t="s">
        <v>21</v>
      </c>
      <c r="O322" s="6" t="s">
        <v>22</v>
      </c>
    </row>
    <row r="323" spans="1:15" hidden="1">
      <c r="A323" t="s">
        <v>15</v>
      </c>
      <c r="B323" t="str">
        <f>"FES1162687875"</f>
        <v>FES1162687875</v>
      </c>
      <c r="C323" s="9">
        <v>43588</v>
      </c>
      <c r="D323">
        <v>1</v>
      </c>
      <c r="E323">
        <v>2170686739</v>
      </c>
      <c r="F323" t="s">
        <v>16</v>
      </c>
      <c r="G323" t="s">
        <v>17</v>
      </c>
      <c r="H323" t="s">
        <v>290</v>
      </c>
      <c r="I323" t="s">
        <v>309</v>
      </c>
      <c r="J323" t="s">
        <v>697</v>
      </c>
      <c r="K323" s="9">
        <v>43591</v>
      </c>
      <c r="L323" s="10">
        <v>0.38125000000000003</v>
      </c>
      <c r="M323" t="s">
        <v>698</v>
      </c>
      <c r="N323" t="s">
        <v>699</v>
      </c>
      <c r="O323" t="s">
        <v>22</v>
      </c>
    </row>
    <row r="324" spans="1:15" hidden="1">
      <c r="A324" t="s">
        <v>15</v>
      </c>
      <c r="B324" t="str">
        <f>"FES1162687773"</f>
        <v>FES1162687773</v>
      </c>
      <c r="C324" s="9">
        <v>43588</v>
      </c>
      <c r="D324">
        <v>1</v>
      </c>
      <c r="E324">
        <v>2170686630</v>
      </c>
      <c r="F324" t="s">
        <v>16</v>
      </c>
      <c r="G324" t="s">
        <v>17</v>
      </c>
      <c r="H324" t="s">
        <v>290</v>
      </c>
      <c r="I324" t="s">
        <v>291</v>
      </c>
      <c r="J324" t="s">
        <v>297</v>
      </c>
      <c r="K324" s="9">
        <v>43591</v>
      </c>
      <c r="L324" s="10">
        <v>0.3659722222222222</v>
      </c>
      <c r="M324" t="s">
        <v>298</v>
      </c>
      <c r="N324" t="s">
        <v>700</v>
      </c>
      <c r="O324" t="s">
        <v>22</v>
      </c>
    </row>
    <row r="325" spans="1:15">
      <c r="A325" s="6" t="s">
        <v>15</v>
      </c>
      <c r="B325" s="6" t="str">
        <f>"FES1162687947"</f>
        <v>FES1162687947</v>
      </c>
      <c r="C325" s="7">
        <v>43588</v>
      </c>
      <c r="D325" s="6">
        <v>1</v>
      </c>
      <c r="E325" s="6">
        <v>2170686245</v>
      </c>
      <c r="F325" s="6" t="s">
        <v>16</v>
      </c>
      <c r="G325" s="6" t="s">
        <v>17</v>
      </c>
      <c r="H325" s="6" t="s">
        <v>17</v>
      </c>
      <c r="I325" s="6" t="s">
        <v>701</v>
      </c>
      <c r="J325" s="6" t="s">
        <v>702</v>
      </c>
      <c r="K325" s="7">
        <v>43591</v>
      </c>
      <c r="L325" s="8">
        <v>0.38958333333333334</v>
      </c>
      <c r="M325" s="6" t="s">
        <v>703</v>
      </c>
      <c r="N325" s="6" t="s">
        <v>21</v>
      </c>
      <c r="O325" s="6" t="s">
        <v>22</v>
      </c>
    </row>
    <row r="326" spans="1:15">
      <c r="A326" s="6" t="s">
        <v>15</v>
      </c>
      <c r="B326" s="6" t="str">
        <f>"FES1162687924"</f>
        <v>FES1162687924</v>
      </c>
      <c r="C326" s="7">
        <v>43588</v>
      </c>
      <c r="D326" s="6">
        <v>1</v>
      </c>
      <c r="E326" s="6">
        <v>2170685275</v>
      </c>
      <c r="F326" s="6" t="s">
        <v>16</v>
      </c>
      <c r="G326" s="6" t="s">
        <v>17</v>
      </c>
      <c r="H326" s="6" t="s">
        <v>17</v>
      </c>
      <c r="I326" s="6" t="s">
        <v>64</v>
      </c>
      <c r="J326" s="6" t="s">
        <v>509</v>
      </c>
      <c r="K326" s="7">
        <v>43591</v>
      </c>
      <c r="L326" s="8">
        <v>0.3444444444444445</v>
      </c>
      <c r="M326" s="6" t="s">
        <v>704</v>
      </c>
      <c r="N326" s="6" t="s">
        <v>21</v>
      </c>
      <c r="O326" s="6" t="s">
        <v>22</v>
      </c>
    </row>
    <row r="327" spans="1:15">
      <c r="A327" s="6" t="s">
        <v>15</v>
      </c>
      <c r="B327" s="6" t="str">
        <f>"FES1162687915"</f>
        <v>FES1162687915</v>
      </c>
      <c r="C327" s="7">
        <v>43588</v>
      </c>
      <c r="D327" s="6">
        <v>1</v>
      </c>
      <c r="E327" s="6">
        <v>2170684484</v>
      </c>
      <c r="F327" s="6" t="s">
        <v>16</v>
      </c>
      <c r="G327" s="6" t="s">
        <v>17</v>
      </c>
      <c r="H327" s="6" t="s">
        <v>17</v>
      </c>
      <c r="I327" s="6" t="s">
        <v>613</v>
      </c>
      <c r="J327" s="6" t="s">
        <v>705</v>
      </c>
      <c r="K327" s="7">
        <v>43591</v>
      </c>
      <c r="L327" s="8">
        <v>0.33333333333333331</v>
      </c>
      <c r="M327" s="6" t="s">
        <v>100</v>
      </c>
      <c r="N327" s="6" t="s">
        <v>21</v>
      </c>
      <c r="O327" s="6" t="s">
        <v>22</v>
      </c>
    </row>
    <row r="328" spans="1:15">
      <c r="A328" s="6" t="s">
        <v>15</v>
      </c>
      <c r="B328" s="6" t="str">
        <f>"FES1162687972"</f>
        <v>FES1162687972</v>
      </c>
      <c r="C328" s="7">
        <v>43588</v>
      </c>
      <c r="D328" s="6">
        <v>1</v>
      </c>
      <c r="E328" s="6">
        <v>2170686795</v>
      </c>
      <c r="F328" s="6" t="s">
        <v>16</v>
      </c>
      <c r="G328" s="6" t="s">
        <v>17</v>
      </c>
      <c r="H328" s="6" t="s">
        <v>17</v>
      </c>
      <c r="I328" s="6" t="s">
        <v>613</v>
      </c>
      <c r="J328" s="6" t="s">
        <v>706</v>
      </c>
      <c r="K328" s="7">
        <v>43591</v>
      </c>
      <c r="L328" s="8">
        <v>0.42986111111111108</v>
      </c>
      <c r="M328" s="6" t="s">
        <v>707</v>
      </c>
      <c r="N328" s="6" t="s">
        <v>21</v>
      </c>
      <c r="O328" s="6" t="s">
        <v>22</v>
      </c>
    </row>
    <row r="329" spans="1:15">
      <c r="A329" s="6" t="s">
        <v>15</v>
      </c>
      <c r="B329" s="6" t="str">
        <f>"FES1162687948"</f>
        <v>FES1162687948</v>
      </c>
      <c r="C329" s="7">
        <v>43588</v>
      </c>
      <c r="D329" s="6">
        <v>1</v>
      </c>
      <c r="E329" s="6">
        <v>21706865365</v>
      </c>
      <c r="F329" s="6" t="s">
        <v>16</v>
      </c>
      <c r="G329" s="6" t="s">
        <v>17</v>
      </c>
      <c r="H329" s="6" t="s">
        <v>17</v>
      </c>
      <c r="I329" s="6" t="s">
        <v>103</v>
      </c>
      <c r="J329" s="6" t="s">
        <v>104</v>
      </c>
      <c r="K329" s="7">
        <v>43592</v>
      </c>
      <c r="L329" s="8">
        <v>0.48819444444444443</v>
      </c>
      <c r="M329" s="6" t="s">
        <v>708</v>
      </c>
      <c r="N329" s="6" t="s">
        <v>21</v>
      </c>
      <c r="O329" s="6" t="s">
        <v>22</v>
      </c>
    </row>
    <row r="330" spans="1:15">
      <c r="A330" s="6" t="s">
        <v>15</v>
      </c>
      <c r="B330" s="6" t="str">
        <f>"FES1162687937"</f>
        <v>FES1162687937</v>
      </c>
      <c r="C330" s="7">
        <v>43588</v>
      </c>
      <c r="D330" s="6">
        <v>1</v>
      </c>
      <c r="E330" s="6">
        <v>2170685861</v>
      </c>
      <c r="F330" s="6" t="s">
        <v>16</v>
      </c>
      <c r="G330" s="6" t="s">
        <v>17</v>
      </c>
      <c r="H330" s="6" t="s">
        <v>17</v>
      </c>
      <c r="I330" s="6" t="s">
        <v>103</v>
      </c>
      <c r="J330" s="6" t="s">
        <v>108</v>
      </c>
      <c r="K330" s="7">
        <v>43591</v>
      </c>
      <c r="L330" s="8">
        <v>0.4375</v>
      </c>
      <c r="M330" s="6" t="s">
        <v>152</v>
      </c>
      <c r="N330" s="6" t="s">
        <v>21</v>
      </c>
      <c r="O330" s="6" t="s">
        <v>22</v>
      </c>
    </row>
    <row r="331" spans="1:15" hidden="1">
      <c r="A331" t="s">
        <v>15</v>
      </c>
      <c r="B331" t="str">
        <f>"FES1162687619"</f>
        <v>FES1162687619</v>
      </c>
      <c r="C331" s="9">
        <v>43588</v>
      </c>
      <c r="D331">
        <v>2</v>
      </c>
      <c r="E331">
        <v>2170686506</v>
      </c>
      <c r="F331" t="s">
        <v>16</v>
      </c>
      <c r="G331" t="s">
        <v>17</v>
      </c>
      <c r="H331" t="s">
        <v>290</v>
      </c>
      <c r="I331" t="s">
        <v>291</v>
      </c>
      <c r="J331" t="s">
        <v>709</v>
      </c>
      <c r="K331" s="9">
        <v>43591</v>
      </c>
      <c r="L331" s="10">
        <v>0.43055555555555558</v>
      </c>
      <c r="M331" t="s">
        <v>710</v>
      </c>
      <c r="N331" t="s">
        <v>711</v>
      </c>
      <c r="O331" t="s">
        <v>22</v>
      </c>
    </row>
    <row r="332" spans="1:15">
      <c r="A332" s="6" t="s">
        <v>15</v>
      </c>
      <c r="B332" s="6" t="str">
        <f>"FES1162687930"</f>
        <v>FES1162687930</v>
      </c>
      <c r="C332" s="7">
        <v>43588</v>
      </c>
      <c r="D332" s="6">
        <v>1</v>
      </c>
      <c r="E332" s="6">
        <v>2170685531</v>
      </c>
      <c r="F332" s="6" t="s">
        <v>16</v>
      </c>
      <c r="G332" s="6" t="s">
        <v>17</v>
      </c>
      <c r="H332" s="6" t="s">
        <v>17</v>
      </c>
      <c r="I332" s="6" t="s">
        <v>148</v>
      </c>
      <c r="J332" s="6" t="s">
        <v>153</v>
      </c>
      <c r="K332" s="7">
        <v>43591</v>
      </c>
      <c r="L332" s="8">
        <v>0.40625</v>
      </c>
      <c r="M332" s="6" t="s">
        <v>712</v>
      </c>
      <c r="N332" s="6" t="s">
        <v>21</v>
      </c>
      <c r="O332" s="6" t="s">
        <v>22</v>
      </c>
    </row>
    <row r="333" spans="1:15" hidden="1">
      <c r="A333" t="s">
        <v>15</v>
      </c>
      <c r="B333" t="str">
        <f>"FES1162687574"</f>
        <v>FES1162687574</v>
      </c>
      <c r="C333" s="9">
        <v>43588</v>
      </c>
      <c r="D333">
        <v>1</v>
      </c>
      <c r="E333">
        <v>2170686105</v>
      </c>
      <c r="F333" t="s">
        <v>16</v>
      </c>
      <c r="G333" t="s">
        <v>17</v>
      </c>
      <c r="H333" t="s">
        <v>290</v>
      </c>
      <c r="I333" t="s">
        <v>291</v>
      </c>
      <c r="J333" t="s">
        <v>713</v>
      </c>
      <c r="K333" s="9">
        <v>43591</v>
      </c>
      <c r="L333" s="10">
        <v>0.41250000000000003</v>
      </c>
      <c r="M333" t="s">
        <v>714</v>
      </c>
      <c r="N333" t="s">
        <v>715</v>
      </c>
      <c r="O333" t="s">
        <v>22</v>
      </c>
    </row>
    <row r="334" spans="1:15" hidden="1">
      <c r="A334" t="s">
        <v>15</v>
      </c>
      <c r="B334" t="str">
        <f>"FES1162687863"</f>
        <v>FES1162687863</v>
      </c>
      <c r="C334" s="9">
        <v>43588</v>
      </c>
      <c r="D334">
        <v>1</v>
      </c>
      <c r="E334">
        <v>2170686731</v>
      </c>
      <c r="F334" t="s">
        <v>16</v>
      </c>
      <c r="G334" t="s">
        <v>17</v>
      </c>
      <c r="H334" t="s">
        <v>43</v>
      </c>
      <c r="I334" t="s">
        <v>44</v>
      </c>
      <c r="J334" t="s">
        <v>336</v>
      </c>
      <c r="K334" s="9">
        <v>43591</v>
      </c>
      <c r="L334" s="10">
        <v>0.41666666666666669</v>
      </c>
      <c r="M334" t="s">
        <v>337</v>
      </c>
      <c r="N334" t="s">
        <v>716</v>
      </c>
      <c r="O334" t="s">
        <v>22</v>
      </c>
    </row>
    <row r="335" spans="1:15" hidden="1">
      <c r="A335" t="s">
        <v>15</v>
      </c>
      <c r="B335" t="str">
        <f>"FES1162687753"</f>
        <v>FES1162687753</v>
      </c>
      <c r="C335" s="9">
        <v>43588</v>
      </c>
      <c r="D335">
        <v>1</v>
      </c>
      <c r="E335">
        <v>2170686604</v>
      </c>
      <c r="F335" t="s">
        <v>16</v>
      </c>
      <c r="G335" t="s">
        <v>17</v>
      </c>
      <c r="H335" t="s">
        <v>290</v>
      </c>
      <c r="I335" t="s">
        <v>291</v>
      </c>
      <c r="J335" t="s">
        <v>717</v>
      </c>
      <c r="K335" s="9">
        <v>43591</v>
      </c>
      <c r="L335" s="10">
        <v>0.4375</v>
      </c>
      <c r="M335" t="s">
        <v>718</v>
      </c>
      <c r="N335" t="s">
        <v>719</v>
      </c>
      <c r="O335" t="s">
        <v>22</v>
      </c>
    </row>
    <row r="336" spans="1:15" hidden="1">
      <c r="A336" t="s">
        <v>15</v>
      </c>
      <c r="B336" t="str">
        <f>"FES1162687735"</f>
        <v>FES1162687735</v>
      </c>
      <c r="C336" s="9">
        <v>43588</v>
      </c>
      <c r="D336">
        <v>1</v>
      </c>
      <c r="E336">
        <v>2170686584</v>
      </c>
      <c r="F336" t="s">
        <v>16</v>
      </c>
      <c r="G336" t="s">
        <v>17</v>
      </c>
      <c r="H336" t="s">
        <v>59</v>
      </c>
      <c r="I336" t="s">
        <v>720</v>
      </c>
      <c r="J336" t="s">
        <v>721</v>
      </c>
      <c r="K336" s="9">
        <v>43591</v>
      </c>
      <c r="L336" s="10">
        <v>0.50138888888888888</v>
      </c>
      <c r="M336" t="s">
        <v>722</v>
      </c>
      <c r="N336" t="s">
        <v>723</v>
      </c>
      <c r="O336" t="s">
        <v>22</v>
      </c>
    </row>
    <row r="337" spans="1:15">
      <c r="A337" s="6" t="s">
        <v>15</v>
      </c>
      <c r="B337" s="6" t="str">
        <f>"FES1162687637"</f>
        <v>FES1162687637</v>
      </c>
      <c r="C337" s="7">
        <v>43588</v>
      </c>
      <c r="D337" s="6">
        <v>1</v>
      </c>
      <c r="E337" s="6">
        <v>2170686401</v>
      </c>
      <c r="F337" s="6" t="s">
        <v>16</v>
      </c>
      <c r="G337" s="6" t="s">
        <v>17</v>
      </c>
      <c r="H337" s="6" t="s">
        <v>17</v>
      </c>
      <c r="I337" s="6" t="s">
        <v>64</v>
      </c>
      <c r="J337" s="6" t="s">
        <v>724</v>
      </c>
      <c r="K337" s="7">
        <v>43591</v>
      </c>
      <c r="L337" s="8">
        <v>0.41319444444444442</v>
      </c>
      <c r="M337" s="6" t="s">
        <v>725</v>
      </c>
      <c r="N337" s="6" t="s">
        <v>21</v>
      </c>
      <c r="O337" s="6" t="s">
        <v>22</v>
      </c>
    </row>
    <row r="338" spans="1:15" hidden="1">
      <c r="A338" t="s">
        <v>15</v>
      </c>
      <c r="B338" t="str">
        <f>"FES1162687922"</f>
        <v>FES1162687922</v>
      </c>
      <c r="C338" s="9">
        <v>43588</v>
      </c>
      <c r="D338">
        <v>1</v>
      </c>
      <c r="E338">
        <v>2170685230</v>
      </c>
      <c r="F338" t="s">
        <v>16</v>
      </c>
      <c r="G338" t="s">
        <v>17</v>
      </c>
      <c r="H338" t="s">
        <v>32</v>
      </c>
      <c r="I338" t="s">
        <v>342</v>
      </c>
      <c r="J338" t="s">
        <v>726</v>
      </c>
      <c r="K338" s="9">
        <v>43591</v>
      </c>
      <c r="L338" s="10">
        <v>0.3444444444444445</v>
      </c>
      <c r="M338" t="s">
        <v>727</v>
      </c>
      <c r="N338" t="s">
        <v>728</v>
      </c>
      <c r="O338" t="s">
        <v>22</v>
      </c>
    </row>
    <row r="339" spans="1:15" hidden="1">
      <c r="A339" t="s">
        <v>15</v>
      </c>
      <c r="B339" t="str">
        <f>"FES1162687744"</f>
        <v>FES1162687744</v>
      </c>
      <c r="C339" s="9">
        <v>43588</v>
      </c>
      <c r="D339">
        <v>1</v>
      </c>
      <c r="E339">
        <v>2170686593</v>
      </c>
      <c r="F339" t="s">
        <v>16</v>
      </c>
      <c r="G339" t="s">
        <v>17</v>
      </c>
      <c r="H339" t="s">
        <v>43</v>
      </c>
      <c r="I339" t="s">
        <v>54</v>
      </c>
      <c r="J339" t="s">
        <v>55</v>
      </c>
      <c r="K339" s="9">
        <v>43591</v>
      </c>
      <c r="L339" s="10">
        <v>0.41666666666666669</v>
      </c>
      <c r="M339" t="s">
        <v>729</v>
      </c>
      <c r="N339" t="s">
        <v>730</v>
      </c>
      <c r="O339" t="s">
        <v>22</v>
      </c>
    </row>
    <row r="340" spans="1:15" hidden="1">
      <c r="A340" t="s">
        <v>15</v>
      </c>
      <c r="B340" t="str">
        <f>"FES1162687830"</f>
        <v>FES1162687830</v>
      </c>
      <c r="C340" s="9">
        <v>43588</v>
      </c>
      <c r="D340">
        <v>1</v>
      </c>
      <c r="E340">
        <v>2170686697</v>
      </c>
      <c r="F340" t="s">
        <v>16</v>
      </c>
      <c r="G340" t="s">
        <v>17</v>
      </c>
      <c r="H340" t="s">
        <v>43</v>
      </c>
      <c r="I340" t="s">
        <v>75</v>
      </c>
      <c r="J340" t="s">
        <v>222</v>
      </c>
      <c r="K340" s="9">
        <v>43591</v>
      </c>
      <c r="L340" s="10">
        <v>0.42986111111111108</v>
      </c>
      <c r="M340" t="s">
        <v>88</v>
      </c>
      <c r="N340" t="s">
        <v>731</v>
      </c>
      <c r="O340" t="s">
        <v>22</v>
      </c>
    </row>
    <row r="341" spans="1:15" hidden="1">
      <c r="A341" t="s">
        <v>15</v>
      </c>
      <c r="B341" t="str">
        <f>"FES1162687713"</f>
        <v>FES1162687713</v>
      </c>
      <c r="C341" s="9">
        <v>43588</v>
      </c>
      <c r="D341">
        <v>1</v>
      </c>
      <c r="E341">
        <v>2170685716</v>
      </c>
      <c r="F341" t="s">
        <v>16</v>
      </c>
      <c r="G341" t="s">
        <v>17</v>
      </c>
      <c r="H341" t="s">
        <v>43</v>
      </c>
      <c r="I341" t="s">
        <v>44</v>
      </c>
      <c r="J341" t="s">
        <v>48</v>
      </c>
      <c r="K341" s="9">
        <v>43591</v>
      </c>
      <c r="L341" s="10">
        <v>0.33333333333333331</v>
      </c>
      <c r="M341" t="s">
        <v>650</v>
      </c>
      <c r="N341" t="s">
        <v>732</v>
      </c>
      <c r="O341" t="s">
        <v>22</v>
      </c>
    </row>
    <row r="342" spans="1:15" hidden="1">
      <c r="A342" t="s">
        <v>15</v>
      </c>
      <c r="B342" t="str">
        <f>"FES1162687716"</f>
        <v>FES1162687716</v>
      </c>
      <c r="C342" s="9">
        <v>43588</v>
      </c>
      <c r="D342">
        <v>1</v>
      </c>
      <c r="E342">
        <v>2170686554</v>
      </c>
      <c r="F342" t="s">
        <v>16</v>
      </c>
      <c r="G342" t="s">
        <v>17</v>
      </c>
      <c r="H342" t="s">
        <v>43</v>
      </c>
      <c r="I342" t="s">
        <v>44</v>
      </c>
      <c r="J342" t="s">
        <v>733</v>
      </c>
      <c r="K342" s="9">
        <v>43591</v>
      </c>
      <c r="L342" s="10">
        <v>0.41666666666666669</v>
      </c>
      <c r="M342" t="s">
        <v>734</v>
      </c>
      <c r="N342" t="s">
        <v>735</v>
      </c>
      <c r="O342" t="s">
        <v>22</v>
      </c>
    </row>
    <row r="343" spans="1:15" hidden="1">
      <c r="A343" t="s">
        <v>15</v>
      </c>
      <c r="B343" t="str">
        <f>"FES1162687771"</f>
        <v>FES1162687771</v>
      </c>
      <c r="C343" s="9">
        <v>43588</v>
      </c>
      <c r="D343">
        <v>1</v>
      </c>
      <c r="E343">
        <v>2170686626</v>
      </c>
      <c r="F343" t="s">
        <v>16</v>
      </c>
      <c r="G343" t="s">
        <v>17</v>
      </c>
      <c r="H343" t="s">
        <v>43</v>
      </c>
      <c r="I343" t="s">
        <v>54</v>
      </c>
      <c r="J343" t="s">
        <v>55</v>
      </c>
      <c r="K343" s="9">
        <v>43591</v>
      </c>
      <c r="L343" s="10">
        <v>0.41666666666666669</v>
      </c>
      <c r="M343" t="s">
        <v>736</v>
      </c>
      <c r="N343" t="s">
        <v>737</v>
      </c>
      <c r="O343" t="s">
        <v>22</v>
      </c>
    </row>
    <row r="344" spans="1:15" hidden="1">
      <c r="A344" t="s">
        <v>15</v>
      </c>
      <c r="B344" t="str">
        <f>"FES1162687850"</f>
        <v>FES1162687850</v>
      </c>
      <c r="C344" s="9">
        <v>43588</v>
      </c>
      <c r="D344">
        <v>1</v>
      </c>
      <c r="E344">
        <v>2170686720</v>
      </c>
      <c r="F344" t="s">
        <v>16</v>
      </c>
      <c r="G344" t="s">
        <v>17</v>
      </c>
      <c r="H344" t="s">
        <v>43</v>
      </c>
      <c r="I344" t="s">
        <v>738</v>
      </c>
      <c r="J344" t="s">
        <v>739</v>
      </c>
      <c r="K344" s="9">
        <v>43591</v>
      </c>
      <c r="L344" s="10">
        <v>0.36805555555555558</v>
      </c>
      <c r="M344" t="s">
        <v>740</v>
      </c>
      <c r="N344" t="s">
        <v>741</v>
      </c>
      <c r="O344" t="s">
        <v>22</v>
      </c>
    </row>
    <row r="345" spans="1:15" hidden="1">
      <c r="A345" t="s">
        <v>15</v>
      </c>
      <c r="B345" t="str">
        <f>"FES1162687789"</f>
        <v>FES1162687789</v>
      </c>
      <c r="C345" s="9">
        <v>43588</v>
      </c>
      <c r="D345">
        <v>1</v>
      </c>
      <c r="E345">
        <v>2170686647</v>
      </c>
      <c r="F345" t="s">
        <v>16</v>
      </c>
      <c r="G345" t="s">
        <v>17</v>
      </c>
      <c r="H345" t="s">
        <v>43</v>
      </c>
      <c r="I345" t="s">
        <v>44</v>
      </c>
      <c r="J345" t="s">
        <v>742</v>
      </c>
      <c r="K345" s="9">
        <v>43591</v>
      </c>
      <c r="L345" s="10">
        <v>0.41666666666666669</v>
      </c>
      <c r="M345" t="s">
        <v>743</v>
      </c>
      <c r="N345" t="s">
        <v>744</v>
      </c>
      <c r="O345" t="s">
        <v>22</v>
      </c>
    </row>
    <row r="346" spans="1:15" hidden="1">
      <c r="A346" t="s">
        <v>15</v>
      </c>
      <c r="B346" t="str">
        <f>"FES1162687846"</f>
        <v>FES1162687846</v>
      </c>
      <c r="C346" s="9">
        <v>43588</v>
      </c>
      <c r="D346">
        <v>1</v>
      </c>
      <c r="E346">
        <v>2170685836</v>
      </c>
      <c r="F346" t="s">
        <v>16</v>
      </c>
      <c r="G346" t="s">
        <v>17</v>
      </c>
      <c r="H346" t="s">
        <v>43</v>
      </c>
      <c r="I346" t="s">
        <v>44</v>
      </c>
      <c r="J346" t="s">
        <v>745</v>
      </c>
      <c r="K346" s="9">
        <v>43591</v>
      </c>
      <c r="L346" s="10">
        <v>0.37847222222222227</v>
      </c>
      <c r="M346" t="s">
        <v>746</v>
      </c>
      <c r="N346" t="s">
        <v>747</v>
      </c>
      <c r="O346" t="s">
        <v>22</v>
      </c>
    </row>
    <row r="347" spans="1:15" hidden="1">
      <c r="A347" t="s">
        <v>15</v>
      </c>
      <c r="B347" t="str">
        <f>"FES1162687799"</f>
        <v>FES1162687799</v>
      </c>
      <c r="C347" s="9">
        <v>43588</v>
      </c>
      <c r="D347">
        <v>1</v>
      </c>
      <c r="E347">
        <v>2170686661</v>
      </c>
      <c r="F347" t="s">
        <v>16</v>
      </c>
      <c r="G347" t="s">
        <v>17</v>
      </c>
      <c r="H347" t="s">
        <v>43</v>
      </c>
      <c r="I347" t="s">
        <v>44</v>
      </c>
      <c r="J347" t="s">
        <v>748</v>
      </c>
      <c r="K347" s="9">
        <v>43591</v>
      </c>
      <c r="L347" s="10">
        <v>0.41666666666666669</v>
      </c>
      <c r="M347" t="s">
        <v>749</v>
      </c>
      <c r="N347" t="s">
        <v>750</v>
      </c>
      <c r="O347" t="s">
        <v>22</v>
      </c>
    </row>
    <row r="348" spans="1:15" hidden="1">
      <c r="A348" t="s">
        <v>15</v>
      </c>
      <c r="B348" t="str">
        <f>"FES1162687781"</f>
        <v>FES1162687781</v>
      </c>
      <c r="C348" s="9">
        <v>43588</v>
      </c>
      <c r="D348">
        <v>1</v>
      </c>
      <c r="E348">
        <v>2170686638</v>
      </c>
      <c r="F348" t="s">
        <v>16</v>
      </c>
      <c r="G348" t="s">
        <v>17</v>
      </c>
      <c r="H348" t="s">
        <v>43</v>
      </c>
      <c r="I348" t="s">
        <v>44</v>
      </c>
      <c r="J348" t="s">
        <v>751</v>
      </c>
      <c r="K348" s="9">
        <v>43591</v>
      </c>
      <c r="L348" s="10">
        <v>0.2986111111111111</v>
      </c>
      <c r="M348" t="s">
        <v>752</v>
      </c>
      <c r="N348" t="s">
        <v>753</v>
      </c>
      <c r="O348" t="s">
        <v>22</v>
      </c>
    </row>
    <row r="349" spans="1:15" hidden="1">
      <c r="A349" t="s">
        <v>15</v>
      </c>
      <c r="B349" t="str">
        <f>"FES1162687748"</f>
        <v>FES1162687748</v>
      </c>
      <c r="C349" s="9">
        <v>43588</v>
      </c>
      <c r="D349">
        <v>1</v>
      </c>
      <c r="E349">
        <v>2170686599</v>
      </c>
      <c r="F349" t="s">
        <v>16</v>
      </c>
      <c r="G349" t="s">
        <v>17</v>
      </c>
      <c r="H349" t="s">
        <v>43</v>
      </c>
      <c r="I349" t="s">
        <v>44</v>
      </c>
      <c r="J349" t="s">
        <v>754</v>
      </c>
      <c r="K349" s="9">
        <v>43591</v>
      </c>
      <c r="L349" s="10">
        <v>0.41666666666666669</v>
      </c>
      <c r="M349" t="s">
        <v>755</v>
      </c>
      <c r="N349" t="s">
        <v>756</v>
      </c>
      <c r="O349" t="s">
        <v>22</v>
      </c>
    </row>
    <row r="350" spans="1:15" hidden="1">
      <c r="A350" t="s">
        <v>15</v>
      </c>
      <c r="B350" t="str">
        <f>"FES1162687888"</f>
        <v>FES1162687888</v>
      </c>
      <c r="C350" s="9">
        <v>43588</v>
      </c>
      <c r="D350">
        <v>1</v>
      </c>
      <c r="E350">
        <v>2170686446</v>
      </c>
      <c r="F350" t="s">
        <v>16</v>
      </c>
      <c r="G350" t="s">
        <v>17</v>
      </c>
      <c r="H350" t="s">
        <v>32</v>
      </c>
      <c r="I350" t="s">
        <v>269</v>
      </c>
      <c r="J350" t="s">
        <v>609</v>
      </c>
      <c r="K350" s="9">
        <v>43591</v>
      </c>
      <c r="L350" s="10">
        <v>0.3611111111111111</v>
      </c>
      <c r="M350" t="s">
        <v>757</v>
      </c>
      <c r="N350" t="s">
        <v>758</v>
      </c>
      <c r="O350" t="s">
        <v>22</v>
      </c>
    </row>
    <row r="351" spans="1:15" hidden="1">
      <c r="A351" t="s">
        <v>15</v>
      </c>
      <c r="B351" t="str">
        <f>"FES1162687506"</f>
        <v>FES1162687506</v>
      </c>
      <c r="C351" s="9">
        <v>43588</v>
      </c>
      <c r="D351">
        <v>1</v>
      </c>
      <c r="E351">
        <v>2170682241</v>
      </c>
      <c r="F351" t="s">
        <v>16</v>
      </c>
      <c r="G351" t="s">
        <v>17</v>
      </c>
      <c r="H351" t="s">
        <v>32</v>
      </c>
      <c r="I351" t="s">
        <v>33</v>
      </c>
      <c r="J351" t="s">
        <v>34</v>
      </c>
      <c r="K351" s="9">
        <v>43591</v>
      </c>
      <c r="L351" s="10">
        <v>0.34722222222222227</v>
      </c>
      <c r="M351" t="s">
        <v>35</v>
      </c>
      <c r="N351" t="s">
        <v>759</v>
      </c>
      <c r="O351" t="s">
        <v>22</v>
      </c>
    </row>
    <row r="352" spans="1:15" hidden="1">
      <c r="A352" t="s">
        <v>15</v>
      </c>
      <c r="B352" t="str">
        <f>"FES1162687798"</f>
        <v>FES1162687798</v>
      </c>
      <c r="C352" s="9">
        <v>43588</v>
      </c>
      <c r="D352">
        <v>1</v>
      </c>
      <c r="E352">
        <v>2170686660</v>
      </c>
      <c r="F352" t="s">
        <v>16</v>
      </c>
      <c r="G352" t="s">
        <v>17</v>
      </c>
      <c r="H352" t="s">
        <v>32</v>
      </c>
      <c r="I352" t="s">
        <v>33</v>
      </c>
      <c r="J352" t="s">
        <v>760</v>
      </c>
      <c r="K352" s="9">
        <v>43591</v>
      </c>
      <c r="L352" s="10">
        <v>0.36458333333333331</v>
      </c>
      <c r="M352" t="s">
        <v>761</v>
      </c>
      <c r="N352" t="s">
        <v>762</v>
      </c>
      <c r="O352" t="s">
        <v>22</v>
      </c>
    </row>
    <row r="353" spans="1:15" hidden="1">
      <c r="A353" t="s">
        <v>15</v>
      </c>
      <c r="B353" t="str">
        <f>"FES1162687772"</f>
        <v>FES1162687772</v>
      </c>
      <c r="C353" s="9">
        <v>43588</v>
      </c>
      <c r="D353">
        <v>1</v>
      </c>
      <c r="E353">
        <v>2170686629</v>
      </c>
      <c r="F353" t="s">
        <v>16</v>
      </c>
      <c r="G353" t="s">
        <v>17</v>
      </c>
      <c r="H353" t="s">
        <v>37</v>
      </c>
      <c r="I353" t="s">
        <v>38</v>
      </c>
      <c r="J353" t="s">
        <v>39</v>
      </c>
      <c r="K353" s="9">
        <v>43591</v>
      </c>
      <c r="L353" s="10">
        <v>0.34652777777777777</v>
      </c>
      <c r="M353" t="s">
        <v>40</v>
      </c>
      <c r="N353" t="s">
        <v>763</v>
      </c>
      <c r="O353" t="s">
        <v>22</v>
      </c>
    </row>
    <row r="354" spans="1:15" hidden="1">
      <c r="A354" t="s">
        <v>15</v>
      </c>
      <c r="B354" t="str">
        <f>"FES1162687"</f>
        <v>FES1162687</v>
      </c>
      <c r="C354" s="9">
        <v>43588</v>
      </c>
      <c r="D354">
        <v>1</v>
      </c>
      <c r="E354">
        <v>2170686045</v>
      </c>
      <c r="F354" t="s">
        <v>16</v>
      </c>
      <c r="G354" t="s">
        <v>17</v>
      </c>
      <c r="H354" t="s">
        <v>32</v>
      </c>
      <c r="I354" t="s">
        <v>269</v>
      </c>
      <c r="J354" t="s">
        <v>683</v>
      </c>
      <c r="K354" s="9">
        <v>43591</v>
      </c>
      <c r="L354" s="10">
        <v>0.36805555555555558</v>
      </c>
      <c r="M354" t="s">
        <v>684</v>
      </c>
      <c r="N354" t="s">
        <v>764</v>
      </c>
      <c r="O354" t="s">
        <v>22</v>
      </c>
    </row>
    <row r="355" spans="1:15" hidden="1">
      <c r="A355" t="s">
        <v>15</v>
      </c>
      <c r="B355" t="str">
        <f>"FES1162687855"</f>
        <v>FES1162687855</v>
      </c>
      <c r="C355" s="9">
        <v>43588</v>
      </c>
      <c r="D355">
        <v>1</v>
      </c>
      <c r="E355">
        <v>2170685877</v>
      </c>
      <c r="F355" t="s">
        <v>16</v>
      </c>
      <c r="G355" t="s">
        <v>17</v>
      </c>
      <c r="H355" t="s">
        <v>32</v>
      </c>
      <c r="I355" t="s">
        <v>269</v>
      </c>
      <c r="J355" t="s">
        <v>683</v>
      </c>
      <c r="K355" s="9">
        <v>43591</v>
      </c>
      <c r="L355" s="10">
        <v>0.36805555555555558</v>
      </c>
      <c r="M355" t="s">
        <v>684</v>
      </c>
      <c r="N355" t="s">
        <v>765</v>
      </c>
      <c r="O355" t="s">
        <v>22</v>
      </c>
    </row>
    <row r="356" spans="1:15" hidden="1">
      <c r="A356" t="s">
        <v>15</v>
      </c>
      <c r="B356" t="str">
        <f>"FES1162687796"</f>
        <v>FES1162687796</v>
      </c>
      <c r="C356" s="9">
        <v>43588</v>
      </c>
      <c r="D356">
        <v>1</v>
      </c>
      <c r="E356">
        <v>2170686658</v>
      </c>
      <c r="F356" t="s">
        <v>16</v>
      </c>
      <c r="G356" t="s">
        <v>17</v>
      </c>
      <c r="H356" t="s">
        <v>37</v>
      </c>
      <c r="I356" t="s">
        <v>38</v>
      </c>
      <c r="J356" t="s">
        <v>766</v>
      </c>
      <c r="K356" s="9">
        <v>43591</v>
      </c>
      <c r="L356" s="10">
        <v>0.35347222222222219</v>
      </c>
      <c r="M356" t="s">
        <v>767</v>
      </c>
      <c r="N356" t="s">
        <v>768</v>
      </c>
      <c r="O356" t="s">
        <v>22</v>
      </c>
    </row>
    <row r="357" spans="1:15" hidden="1">
      <c r="A357" t="s">
        <v>15</v>
      </c>
      <c r="B357" t="str">
        <f>"FES1162687516"</f>
        <v>FES1162687516</v>
      </c>
      <c r="C357" s="9">
        <v>43588</v>
      </c>
      <c r="D357">
        <v>1</v>
      </c>
      <c r="E357">
        <v>2170683831</v>
      </c>
      <c r="F357" t="s">
        <v>16</v>
      </c>
      <c r="G357" t="s">
        <v>17</v>
      </c>
      <c r="H357" t="s">
        <v>290</v>
      </c>
      <c r="I357" t="s">
        <v>291</v>
      </c>
      <c r="J357" t="s">
        <v>294</v>
      </c>
      <c r="K357" s="9">
        <v>43591</v>
      </c>
      <c r="L357" s="10">
        <v>0.40277777777777773</v>
      </c>
      <c r="M357" t="s">
        <v>769</v>
      </c>
      <c r="N357" t="s">
        <v>770</v>
      </c>
      <c r="O357" t="s">
        <v>22</v>
      </c>
    </row>
    <row r="358" spans="1:15" hidden="1">
      <c r="A358" t="s">
        <v>15</v>
      </c>
      <c r="B358" t="str">
        <f>"FES1162687833"</f>
        <v>FES1162687833</v>
      </c>
      <c r="C358" s="9">
        <v>43588</v>
      </c>
      <c r="D358">
        <v>1</v>
      </c>
      <c r="E358">
        <v>2170686700</v>
      </c>
      <c r="F358" t="s">
        <v>16</v>
      </c>
      <c r="G358" t="s">
        <v>17</v>
      </c>
      <c r="H358" t="s">
        <v>425</v>
      </c>
      <c r="I358" t="s">
        <v>771</v>
      </c>
      <c r="J358" t="s">
        <v>772</v>
      </c>
      <c r="K358" s="9">
        <v>43591</v>
      </c>
      <c r="L358" s="10">
        <v>0.52986111111111112</v>
      </c>
      <c r="M358" t="s">
        <v>773</v>
      </c>
      <c r="N358" t="s">
        <v>774</v>
      </c>
      <c r="O358" t="s">
        <v>22</v>
      </c>
    </row>
    <row r="359" spans="1:15" hidden="1">
      <c r="A359" t="s">
        <v>15</v>
      </c>
      <c r="B359" t="str">
        <f>"FES1162687859"</f>
        <v>FES1162687859</v>
      </c>
      <c r="C359" s="9">
        <v>43588</v>
      </c>
      <c r="D359">
        <v>1</v>
      </c>
      <c r="E359">
        <v>2170686725</v>
      </c>
      <c r="F359" t="s">
        <v>16</v>
      </c>
      <c r="G359" t="s">
        <v>17</v>
      </c>
      <c r="H359" t="s">
        <v>37</v>
      </c>
      <c r="I359" t="s">
        <v>38</v>
      </c>
      <c r="J359" t="s">
        <v>766</v>
      </c>
      <c r="K359" s="9">
        <v>43591</v>
      </c>
      <c r="L359" s="10">
        <v>0.35347222222222219</v>
      </c>
      <c r="M359" t="s">
        <v>767</v>
      </c>
      <c r="N359" t="s">
        <v>775</v>
      </c>
      <c r="O359" t="s">
        <v>22</v>
      </c>
    </row>
    <row r="360" spans="1:15">
      <c r="A360" s="6" t="s">
        <v>15</v>
      </c>
      <c r="B360" s="6" t="str">
        <f>"FES1162688042"</f>
        <v>FES1162688042</v>
      </c>
      <c r="C360" s="7">
        <v>43588</v>
      </c>
      <c r="D360" s="6">
        <v>1</v>
      </c>
      <c r="E360" s="6">
        <v>2170681931</v>
      </c>
      <c r="F360" s="6" t="s">
        <v>16</v>
      </c>
      <c r="G360" s="6" t="s">
        <v>17</v>
      </c>
      <c r="H360" s="6" t="s">
        <v>17</v>
      </c>
      <c r="I360" s="6" t="s">
        <v>103</v>
      </c>
      <c r="J360" s="6" t="s">
        <v>776</v>
      </c>
      <c r="K360" s="7">
        <v>43591</v>
      </c>
      <c r="L360" s="8">
        <v>0.4201388888888889</v>
      </c>
      <c r="M360" s="6" t="s">
        <v>777</v>
      </c>
      <c r="N360" s="6" t="s">
        <v>21</v>
      </c>
      <c r="O360" s="6" t="s">
        <v>22</v>
      </c>
    </row>
    <row r="361" spans="1:15" hidden="1">
      <c r="A361" t="s">
        <v>15</v>
      </c>
      <c r="B361" t="str">
        <f>"FES1162687962"</f>
        <v>FES1162687962</v>
      </c>
      <c r="C361" s="9">
        <v>43588</v>
      </c>
      <c r="D361">
        <v>1</v>
      </c>
      <c r="E361">
        <v>2170686781</v>
      </c>
      <c r="F361" t="s">
        <v>16</v>
      </c>
      <c r="G361" t="s">
        <v>17</v>
      </c>
      <c r="H361" t="s">
        <v>32</v>
      </c>
      <c r="I361" t="s">
        <v>33</v>
      </c>
      <c r="J361" t="s">
        <v>778</v>
      </c>
      <c r="K361" s="9">
        <v>43591</v>
      </c>
      <c r="L361" s="10">
        <v>0.40069444444444446</v>
      </c>
      <c r="M361" t="s">
        <v>779</v>
      </c>
      <c r="N361" t="s">
        <v>780</v>
      </c>
      <c r="O361" t="s">
        <v>22</v>
      </c>
    </row>
    <row r="362" spans="1:15" hidden="1">
      <c r="A362" t="s">
        <v>15</v>
      </c>
      <c r="B362" t="str">
        <f>"FES1162687918"</f>
        <v>FES1162687918</v>
      </c>
      <c r="C362" s="9">
        <v>43588</v>
      </c>
      <c r="D362">
        <v>1</v>
      </c>
      <c r="E362">
        <v>2170684739</v>
      </c>
      <c r="F362" t="s">
        <v>16</v>
      </c>
      <c r="G362" t="s">
        <v>17</v>
      </c>
      <c r="H362" t="s">
        <v>32</v>
      </c>
      <c r="I362" t="s">
        <v>33</v>
      </c>
      <c r="J362" t="s">
        <v>284</v>
      </c>
      <c r="K362" s="9">
        <v>43591</v>
      </c>
      <c r="L362" s="10">
        <v>0.36805555555555558</v>
      </c>
      <c r="M362" t="s">
        <v>781</v>
      </c>
      <c r="N362" t="s">
        <v>782</v>
      </c>
      <c r="O362" t="s">
        <v>22</v>
      </c>
    </row>
    <row r="363" spans="1:15" hidden="1">
      <c r="A363" t="s">
        <v>15</v>
      </c>
      <c r="B363" t="str">
        <f>"FES1162688031"</f>
        <v>FES1162688031</v>
      </c>
      <c r="C363" s="9">
        <v>43588</v>
      </c>
      <c r="D363">
        <v>1</v>
      </c>
      <c r="E363">
        <v>2170686870</v>
      </c>
      <c r="F363" t="s">
        <v>16</v>
      </c>
      <c r="G363" t="s">
        <v>17</v>
      </c>
      <c r="H363" t="s">
        <v>425</v>
      </c>
      <c r="I363" t="s">
        <v>426</v>
      </c>
      <c r="J363" t="s">
        <v>783</v>
      </c>
      <c r="K363" s="9">
        <v>43591</v>
      </c>
      <c r="L363" s="10">
        <v>0.43194444444444446</v>
      </c>
      <c r="M363" t="s">
        <v>784</v>
      </c>
      <c r="N363" t="s">
        <v>785</v>
      </c>
      <c r="O363" t="s">
        <v>22</v>
      </c>
    </row>
    <row r="364" spans="1:15" hidden="1">
      <c r="A364" t="s">
        <v>15</v>
      </c>
      <c r="B364" t="str">
        <f>"FES1162687920"</f>
        <v>FES1162687920</v>
      </c>
      <c r="C364" s="9">
        <v>43588</v>
      </c>
      <c r="D364">
        <v>1</v>
      </c>
      <c r="E364">
        <v>2170684984</v>
      </c>
      <c r="F364" t="s">
        <v>16</v>
      </c>
      <c r="G364" t="s">
        <v>17</v>
      </c>
      <c r="H364" t="s">
        <v>32</v>
      </c>
      <c r="I364" t="s">
        <v>33</v>
      </c>
      <c r="J364" t="s">
        <v>786</v>
      </c>
      <c r="K364" s="9">
        <v>43591</v>
      </c>
      <c r="L364" s="10">
        <v>0.42708333333333331</v>
      </c>
      <c r="M364" t="s">
        <v>787</v>
      </c>
      <c r="N364" t="s">
        <v>788</v>
      </c>
      <c r="O364" t="s">
        <v>22</v>
      </c>
    </row>
    <row r="365" spans="1:15" hidden="1">
      <c r="A365" t="s">
        <v>15</v>
      </c>
      <c r="B365" t="str">
        <f>"FES1162687955"</f>
        <v>FES1162687955</v>
      </c>
      <c r="C365" s="9">
        <v>43588</v>
      </c>
      <c r="D365">
        <v>1</v>
      </c>
      <c r="E365">
        <v>2170686772</v>
      </c>
      <c r="F365" t="s">
        <v>16</v>
      </c>
      <c r="G365" t="s">
        <v>17</v>
      </c>
      <c r="H365" t="s">
        <v>43</v>
      </c>
      <c r="I365" t="s">
        <v>44</v>
      </c>
      <c r="J365" t="s">
        <v>48</v>
      </c>
      <c r="K365" s="9">
        <v>43591</v>
      </c>
      <c r="L365" s="10">
        <v>0.33333333333333331</v>
      </c>
      <c r="M365" t="s">
        <v>650</v>
      </c>
      <c r="N365" t="s">
        <v>789</v>
      </c>
      <c r="O365" t="s">
        <v>22</v>
      </c>
    </row>
    <row r="366" spans="1:15" hidden="1">
      <c r="A366" t="s">
        <v>15</v>
      </c>
      <c r="B366" t="str">
        <f>"FES1162687905"</f>
        <v>FES1162687905</v>
      </c>
      <c r="C366" s="9">
        <v>43588</v>
      </c>
      <c r="D366">
        <v>1</v>
      </c>
      <c r="E366">
        <v>2170684007</v>
      </c>
      <c r="F366" t="s">
        <v>16</v>
      </c>
      <c r="G366" t="s">
        <v>17</v>
      </c>
      <c r="H366" t="s">
        <v>32</v>
      </c>
      <c r="I366" t="s">
        <v>33</v>
      </c>
      <c r="J366" t="s">
        <v>790</v>
      </c>
      <c r="K366" s="9">
        <v>43591</v>
      </c>
      <c r="L366" s="10">
        <v>0.38472222222222219</v>
      </c>
      <c r="M366" t="s">
        <v>791</v>
      </c>
      <c r="N366" t="s">
        <v>792</v>
      </c>
      <c r="O366" t="s">
        <v>22</v>
      </c>
    </row>
    <row r="367" spans="1:15" hidden="1">
      <c r="A367" t="s">
        <v>15</v>
      </c>
      <c r="B367" t="str">
        <f>"FES1162688018"</f>
        <v>FES1162688018</v>
      </c>
      <c r="C367" s="9">
        <v>43588</v>
      </c>
      <c r="D367">
        <v>1</v>
      </c>
      <c r="E367">
        <v>2170686848</v>
      </c>
      <c r="F367" t="s">
        <v>16</v>
      </c>
      <c r="G367" t="s">
        <v>17</v>
      </c>
      <c r="H367" t="s">
        <v>32</v>
      </c>
      <c r="I367" t="s">
        <v>33</v>
      </c>
      <c r="J367" t="s">
        <v>360</v>
      </c>
      <c r="K367" s="9">
        <v>43591</v>
      </c>
      <c r="L367" s="10">
        <v>0.37152777777777773</v>
      </c>
      <c r="M367" t="s">
        <v>793</v>
      </c>
      <c r="N367" t="s">
        <v>794</v>
      </c>
      <c r="O367" t="s">
        <v>22</v>
      </c>
    </row>
    <row r="368" spans="1:15" hidden="1">
      <c r="A368" t="s">
        <v>15</v>
      </c>
      <c r="B368" t="str">
        <f>"FES1162687901"</f>
        <v>FES1162687901</v>
      </c>
      <c r="C368" s="9">
        <v>43588</v>
      </c>
      <c r="D368">
        <v>1</v>
      </c>
      <c r="E368">
        <v>2170680483</v>
      </c>
      <c r="F368" t="s">
        <v>16</v>
      </c>
      <c r="G368" t="s">
        <v>17</v>
      </c>
      <c r="H368" t="s">
        <v>32</v>
      </c>
      <c r="I368" t="s">
        <v>33</v>
      </c>
      <c r="J368" t="s">
        <v>34</v>
      </c>
      <c r="K368" s="9">
        <v>43591</v>
      </c>
      <c r="L368" s="10">
        <v>0.34722222222222227</v>
      </c>
      <c r="M368" t="s">
        <v>35</v>
      </c>
      <c r="N368" t="s">
        <v>795</v>
      </c>
      <c r="O368" t="s">
        <v>22</v>
      </c>
    </row>
    <row r="369" spans="1:15" hidden="1">
      <c r="A369" t="s">
        <v>15</v>
      </c>
      <c r="B369" t="str">
        <f>"FES1162687946"</f>
        <v>FES1162687946</v>
      </c>
      <c r="C369" s="9">
        <v>43588</v>
      </c>
      <c r="D369">
        <v>1</v>
      </c>
      <c r="E369">
        <v>2170686166</v>
      </c>
      <c r="F369" t="s">
        <v>16</v>
      </c>
      <c r="G369" t="s">
        <v>17</v>
      </c>
      <c r="H369" t="s">
        <v>32</v>
      </c>
      <c r="I369" t="s">
        <v>33</v>
      </c>
      <c r="J369" t="s">
        <v>546</v>
      </c>
      <c r="K369" s="9">
        <v>43591</v>
      </c>
      <c r="L369" s="10">
        <v>0.3298611111111111</v>
      </c>
      <c r="M369" t="s">
        <v>547</v>
      </c>
      <c r="N369" t="s">
        <v>796</v>
      </c>
      <c r="O369" t="s">
        <v>22</v>
      </c>
    </row>
    <row r="370" spans="1:15" hidden="1">
      <c r="A370" t="s">
        <v>15</v>
      </c>
      <c r="B370" t="str">
        <f>"FES1162687987"</f>
        <v>FES1162687987</v>
      </c>
      <c r="C370" s="9">
        <v>43588</v>
      </c>
      <c r="D370">
        <v>1</v>
      </c>
      <c r="E370">
        <v>2170686042</v>
      </c>
      <c r="F370" t="s">
        <v>16</v>
      </c>
      <c r="G370" t="s">
        <v>17</v>
      </c>
      <c r="H370" t="s">
        <v>290</v>
      </c>
      <c r="I370" t="s">
        <v>309</v>
      </c>
      <c r="J370" t="s">
        <v>310</v>
      </c>
      <c r="K370" s="9">
        <v>43591</v>
      </c>
      <c r="L370" s="10">
        <v>0.41666666666666669</v>
      </c>
      <c r="M370" t="s">
        <v>311</v>
      </c>
      <c r="N370" t="s">
        <v>797</v>
      </c>
      <c r="O370" t="s">
        <v>22</v>
      </c>
    </row>
    <row r="371" spans="1:15" hidden="1">
      <c r="A371" t="s">
        <v>15</v>
      </c>
      <c r="B371" t="str">
        <f>"FES1162687925"</f>
        <v>FES1162687925</v>
      </c>
      <c r="C371" s="9">
        <v>43588</v>
      </c>
      <c r="D371">
        <v>1</v>
      </c>
      <c r="E371">
        <v>2170685292</v>
      </c>
      <c r="F371" t="s">
        <v>16</v>
      </c>
      <c r="G371" t="s">
        <v>17</v>
      </c>
      <c r="H371" t="s">
        <v>43</v>
      </c>
      <c r="I371" t="s">
        <v>44</v>
      </c>
      <c r="J371" t="s">
        <v>798</v>
      </c>
      <c r="K371" s="9">
        <v>43591</v>
      </c>
      <c r="L371" s="10">
        <v>0.41666666666666669</v>
      </c>
      <c r="M371" t="s">
        <v>799</v>
      </c>
      <c r="N371" t="s">
        <v>800</v>
      </c>
      <c r="O371" t="s">
        <v>22</v>
      </c>
    </row>
    <row r="372" spans="1:15" hidden="1">
      <c r="A372" t="s">
        <v>15</v>
      </c>
      <c r="B372" t="str">
        <f>"FES1162688012"</f>
        <v>FES1162688012</v>
      </c>
      <c r="C372" s="9">
        <v>43588</v>
      </c>
      <c r="D372">
        <v>1</v>
      </c>
      <c r="E372">
        <v>2170686839</v>
      </c>
      <c r="F372" t="s">
        <v>16</v>
      </c>
      <c r="G372" t="s">
        <v>17</v>
      </c>
      <c r="H372" t="s">
        <v>43</v>
      </c>
      <c r="I372" t="s">
        <v>44</v>
      </c>
      <c r="J372" t="s">
        <v>798</v>
      </c>
      <c r="K372" s="9">
        <v>43591</v>
      </c>
      <c r="L372" s="10">
        <v>0.41666666666666669</v>
      </c>
      <c r="M372" t="s">
        <v>799</v>
      </c>
      <c r="N372" t="s">
        <v>801</v>
      </c>
      <c r="O372" t="s">
        <v>22</v>
      </c>
    </row>
    <row r="373" spans="1:15" hidden="1">
      <c r="A373" t="s">
        <v>15</v>
      </c>
      <c r="B373" t="str">
        <f>"FES1162687941"</f>
        <v>FES1162687941</v>
      </c>
      <c r="C373" s="9">
        <v>43588</v>
      </c>
      <c r="D373">
        <v>1</v>
      </c>
      <c r="E373">
        <v>2170686055</v>
      </c>
      <c r="F373" t="s">
        <v>16</v>
      </c>
      <c r="G373" t="s">
        <v>17</v>
      </c>
      <c r="H373" t="s">
        <v>43</v>
      </c>
      <c r="I373" t="s">
        <v>738</v>
      </c>
      <c r="J373" t="s">
        <v>739</v>
      </c>
      <c r="K373" s="9">
        <v>43591</v>
      </c>
      <c r="L373" s="10">
        <v>0.36805555555555558</v>
      </c>
      <c r="M373" t="s">
        <v>740</v>
      </c>
      <c r="N373" t="s">
        <v>802</v>
      </c>
      <c r="O373" t="s">
        <v>22</v>
      </c>
    </row>
    <row r="374" spans="1:15" hidden="1">
      <c r="A374" t="s">
        <v>15</v>
      </c>
      <c r="B374" t="str">
        <f>"FES1162687934"</f>
        <v>FES1162687934</v>
      </c>
      <c r="C374" s="9">
        <v>43588</v>
      </c>
      <c r="D374">
        <v>1</v>
      </c>
      <c r="E374">
        <v>2170685796</v>
      </c>
      <c r="F374" t="s">
        <v>16</v>
      </c>
      <c r="G374" t="s">
        <v>17</v>
      </c>
      <c r="H374" t="s">
        <v>43</v>
      </c>
      <c r="I374" t="s">
        <v>54</v>
      </c>
      <c r="J374" t="s">
        <v>216</v>
      </c>
      <c r="K374" s="9">
        <v>43591</v>
      </c>
      <c r="L374" s="10">
        <v>0.41666666666666669</v>
      </c>
      <c r="M374" t="s">
        <v>656</v>
      </c>
      <c r="N374" t="s">
        <v>803</v>
      </c>
      <c r="O374" t="s">
        <v>22</v>
      </c>
    </row>
    <row r="375" spans="1:15" hidden="1">
      <c r="A375" t="s">
        <v>15</v>
      </c>
      <c r="B375" t="str">
        <f>"FES1162688029"</f>
        <v>FES1162688029</v>
      </c>
      <c r="C375" s="9">
        <v>43588</v>
      </c>
      <c r="D375">
        <v>1</v>
      </c>
      <c r="E375">
        <v>2170686865</v>
      </c>
      <c r="F375" t="s">
        <v>16</v>
      </c>
      <c r="G375" t="s">
        <v>17</v>
      </c>
      <c r="H375" t="s">
        <v>43</v>
      </c>
      <c r="I375" t="s">
        <v>44</v>
      </c>
      <c r="J375" t="s">
        <v>207</v>
      </c>
      <c r="K375" s="9">
        <v>43591</v>
      </c>
      <c r="L375" s="10">
        <v>0.41666666666666669</v>
      </c>
      <c r="M375" t="s">
        <v>208</v>
      </c>
      <c r="N375" t="s">
        <v>804</v>
      </c>
      <c r="O375" t="s">
        <v>22</v>
      </c>
    </row>
    <row r="376" spans="1:15" hidden="1">
      <c r="A376" t="s">
        <v>15</v>
      </c>
      <c r="B376" t="str">
        <f>"FES1162687904"</f>
        <v>FES1162687904</v>
      </c>
      <c r="C376" s="9">
        <v>43588</v>
      </c>
      <c r="D376">
        <v>1</v>
      </c>
      <c r="E376">
        <v>21706838753</v>
      </c>
      <c r="F376" t="s">
        <v>16</v>
      </c>
      <c r="G376" t="s">
        <v>17</v>
      </c>
      <c r="H376" t="s">
        <v>43</v>
      </c>
      <c r="I376" t="s">
        <v>44</v>
      </c>
      <c r="J376" t="s">
        <v>236</v>
      </c>
      <c r="K376" s="9">
        <v>43591</v>
      </c>
      <c r="L376" s="10">
        <v>0.41666666666666669</v>
      </c>
      <c r="M376" t="s">
        <v>805</v>
      </c>
      <c r="N376" t="s">
        <v>806</v>
      </c>
      <c r="O376" t="s">
        <v>22</v>
      </c>
    </row>
    <row r="377" spans="1:15" hidden="1">
      <c r="A377" t="s">
        <v>15</v>
      </c>
      <c r="B377" t="str">
        <f>"FES1162687929"</f>
        <v>FES1162687929</v>
      </c>
      <c r="C377" s="9">
        <v>43588</v>
      </c>
      <c r="D377">
        <v>1</v>
      </c>
      <c r="E377">
        <v>21706854483</v>
      </c>
      <c r="F377" t="s">
        <v>16</v>
      </c>
      <c r="G377" t="s">
        <v>17</v>
      </c>
      <c r="H377" t="s">
        <v>43</v>
      </c>
      <c r="I377" t="s">
        <v>807</v>
      </c>
      <c r="J377" t="s">
        <v>808</v>
      </c>
      <c r="K377" s="9">
        <v>43591</v>
      </c>
      <c r="L377" s="10">
        <v>0.46527777777777773</v>
      </c>
      <c r="M377" t="s">
        <v>809</v>
      </c>
      <c r="N377" t="s">
        <v>810</v>
      </c>
      <c r="O377" t="s">
        <v>22</v>
      </c>
    </row>
    <row r="378" spans="1:15" hidden="1">
      <c r="A378" t="s">
        <v>15</v>
      </c>
      <c r="B378" t="str">
        <f>"FES1162687935"</f>
        <v>FES1162687935</v>
      </c>
      <c r="C378" s="9">
        <v>43588</v>
      </c>
      <c r="D378">
        <v>1</v>
      </c>
      <c r="E378">
        <v>2170685816</v>
      </c>
      <c r="F378" t="s">
        <v>16</v>
      </c>
      <c r="G378" t="s">
        <v>17</v>
      </c>
      <c r="H378" t="s">
        <v>43</v>
      </c>
      <c r="I378" t="s">
        <v>75</v>
      </c>
      <c r="J378" t="s">
        <v>811</v>
      </c>
      <c r="K378" s="9">
        <v>43591</v>
      </c>
      <c r="L378" s="10">
        <v>0.43472222222222223</v>
      </c>
      <c r="M378" t="s">
        <v>812</v>
      </c>
      <c r="N378" t="s">
        <v>813</v>
      </c>
      <c r="O378" t="s">
        <v>22</v>
      </c>
    </row>
    <row r="379" spans="1:15" hidden="1">
      <c r="A379" t="s">
        <v>15</v>
      </c>
      <c r="B379" t="str">
        <f>"FES1162687903"</f>
        <v>FES1162687903</v>
      </c>
      <c r="C379" s="9">
        <v>43588</v>
      </c>
      <c r="D379">
        <v>1</v>
      </c>
      <c r="E379">
        <v>2170683307</v>
      </c>
      <c r="F379" t="s">
        <v>16</v>
      </c>
      <c r="G379" t="s">
        <v>17</v>
      </c>
      <c r="H379" t="s">
        <v>32</v>
      </c>
      <c r="I379" t="s">
        <v>33</v>
      </c>
      <c r="J379" t="s">
        <v>34</v>
      </c>
      <c r="K379" s="9">
        <v>43591</v>
      </c>
      <c r="L379" s="10">
        <v>0.34722222222222227</v>
      </c>
      <c r="M379" t="s">
        <v>35</v>
      </c>
      <c r="N379" t="s">
        <v>814</v>
      </c>
      <c r="O379" t="s">
        <v>22</v>
      </c>
    </row>
    <row r="380" spans="1:15" hidden="1">
      <c r="A380" t="s">
        <v>15</v>
      </c>
      <c r="B380" t="str">
        <f>"FES1162687907"</f>
        <v>FES1162687907</v>
      </c>
      <c r="C380" s="9">
        <v>43588</v>
      </c>
      <c r="D380">
        <v>1</v>
      </c>
      <c r="E380">
        <v>2170684143</v>
      </c>
      <c r="F380" t="s">
        <v>16</v>
      </c>
      <c r="G380" t="s">
        <v>17</v>
      </c>
      <c r="H380" t="s">
        <v>300</v>
      </c>
      <c r="I380" t="s">
        <v>301</v>
      </c>
      <c r="J380" t="s">
        <v>506</v>
      </c>
      <c r="K380" s="9">
        <v>43591</v>
      </c>
      <c r="L380" s="10">
        <v>0.35138888888888892</v>
      </c>
      <c r="M380" t="s">
        <v>507</v>
      </c>
      <c r="N380" t="s">
        <v>815</v>
      </c>
      <c r="O380" t="s">
        <v>22</v>
      </c>
    </row>
    <row r="381" spans="1:15" hidden="1">
      <c r="A381" t="s">
        <v>15</v>
      </c>
      <c r="B381" t="str">
        <f>"FES1162687986"</f>
        <v>FES1162687986</v>
      </c>
      <c r="C381" s="9">
        <v>43588</v>
      </c>
      <c r="D381">
        <v>1</v>
      </c>
      <c r="E381">
        <v>2170686041</v>
      </c>
      <c r="F381" t="s">
        <v>16</v>
      </c>
      <c r="G381" t="s">
        <v>17</v>
      </c>
      <c r="H381" t="s">
        <v>290</v>
      </c>
      <c r="I381" t="s">
        <v>309</v>
      </c>
      <c r="J381" t="s">
        <v>310</v>
      </c>
      <c r="K381" s="9">
        <v>43591</v>
      </c>
      <c r="L381" s="10">
        <v>0.41805555555555557</v>
      </c>
      <c r="M381" t="s">
        <v>311</v>
      </c>
      <c r="N381" t="s">
        <v>816</v>
      </c>
      <c r="O381" t="s">
        <v>22</v>
      </c>
    </row>
    <row r="382" spans="1:15">
      <c r="A382" s="6" t="s">
        <v>15</v>
      </c>
      <c r="B382" s="6" t="str">
        <f>"FES1162687917"</f>
        <v>FES1162687917</v>
      </c>
      <c r="C382" s="7">
        <v>43588</v>
      </c>
      <c r="D382" s="6">
        <v>1</v>
      </c>
      <c r="E382" s="6">
        <v>2170684544</v>
      </c>
      <c r="F382" s="6" t="s">
        <v>16</v>
      </c>
      <c r="G382" s="6" t="s">
        <v>17</v>
      </c>
      <c r="H382" s="6" t="s">
        <v>17</v>
      </c>
      <c r="I382" s="6" t="s">
        <v>64</v>
      </c>
      <c r="J382" s="6" t="s">
        <v>817</v>
      </c>
      <c r="K382" s="7">
        <v>43591</v>
      </c>
      <c r="L382" s="8">
        <v>0.43055555555555558</v>
      </c>
      <c r="M382" s="6" t="s">
        <v>818</v>
      </c>
      <c r="N382" s="6" t="s">
        <v>21</v>
      </c>
      <c r="O382" s="6" t="s">
        <v>22</v>
      </c>
    </row>
    <row r="383" spans="1:15" hidden="1">
      <c r="A383" t="s">
        <v>15</v>
      </c>
      <c r="B383" t="str">
        <f>"FES1162687990"</f>
        <v>FES1162687990</v>
      </c>
      <c r="C383" s="9">
        <v>43588</v>
      </c>
      <c r="D383">
        <v>1</v>
      </c>
      <c r="E383">
        <v>2170686046</v>
      </c>
      <c r="F383" t="s">
        <v>16</v>
      </c>
      <c r="G383" t="s">
        <v>17</v>
      </c>
      <c r="H383" t="s">
        <v>290</v>
      </c>
      <c r="I383" t="s">
        <v>309</v>
      </c>
      <c r="J383" t="s">
        <v>310</v>
      </c>
      <c r="K383" s="9">
        <v>43591</v>
      </c>
      <c r="L383" s="10">
        <v>0.41666666666666669</v>
      </c>
      <c r="M383" t="s">
        <v>311</v>
      </c>
      <c r="N383" t="s">
        <v>819</v>
      </c>
      <c r="O383" t="s">
        <v>22</v>
      </c>
    </row>
    <row r="384" spans="1:15" hidden="1">
      <c r="A384" t="s">
        <v>15</v>
      </c>
      <c r="B384" t="str">
        <f>"FES1162687902"</f>
        <v>FES1162687902</v>
      </c>
      <c r="C384" s="9">
        <v>43588</v>
      </c>
      <c r="D384">
        <v>1</v>
      </c>
      <c r="E384">
        <v>2170682155</v>
      </c>
      <c r="F384" t="s">
        <v>16</v>
      </c>
      <c r="G384" t="s">
        <v>17</v>
      </c>
      <c r="H384" t="s">
        <v>32</v>
      </c>
      <c r="I384" t="s">
        <v>33</v>
      </c>
      <c r="J384" t="s">
        <v>34</v>
      </c>
      <c r="K384" s="9">
        <v>43591</v>
      </c>
      <c r="L384" s="10">
        <v>0.34722222222222227</v>
      </c>
      <c r="M384" t="s">
        <v>35</v>
      </c>
      <c r="N384" t="s">
        <v>820</v>
      </c>
      <c r="O384" t="s">
        <v>22</v>
      </c>
    </row>
    <row r="385" spans="1:15" hidden="1">
      <c r="A385" t="s">
        <v>15</v>
      </c>
      <c r="B385" t="str">
        <f>"FES1162687939"</f>
        <v>FES1162687939</v>
      </c>
      <c r="C385" s="9">
        <v>43588</v>
      </c>
      <c r="D385">
        <v>1</v>
      </c>
      <c r="E385">
        <v>2170686022</v>
      </c>
      <c r="F385" t="s">
        <v>16</v>
      </c>
      <c r="G385" t="s">
        <v>17</v>
      </c>
      <c r="H385" t="s">
        <v>43</v>
      </c>
      <c r="I385" t="s">
        <v>75</v>
      </c>
      <c r="J385" t="s">
        <v>222</v>
      </c>
      <c r="K385" s="9">
        <v>43591</v>
      </c>
      <c r="L385" s="10">
        <v>0.42986111111111108</v>
      </c>
      <c r="M385" t="s">
        <v>88</v>
      </c>
      <c r="N385" t="s">
        <v>821</v>
      </c>
      <c r="O385" t="s">
        <v>22</v>
      </c>
    </row>
    <row r="386" spans="1:15" hidden="1">
      <c r="A386" t="s">
        <v>15</v>
      </c>
      <c r="B386" t="str">
        <f>"FES1162687984"</f>
        <v>FES1162687984</v>
      </c>
      <c r="C386" s="9">
        <v>43588</v>
      </c>
      <c r="D386">
        <v>1</v>
      </c>
      <c r="E386">
        <v>2170686037</v>
      </c>
      <c r="F386" t="s">
        <v>16</v>
      </c>
      <c r="G386" t="s">
        <v>17</v>
      </c>
      <c r="H386" t="s">
        <v>290</v>
      </c>
      <c r="I386" t="s">
        <v>309</v>
      </c>
      <c r="J386" t="s">
        <v>310</v>
      </c>
      <c r="K386" s="9">
        <v>43591</v>
      </c>
      <c r="L386" s="10">
        <v>0.41805555555555557</v>
      </c>
      <c r="M386" t="s">
        <v>311</v>
      </c>
      <c r="N386" t="s">
        <v>822</v>
      </c>
      <c r="O386" t="s">
        <v>22</v>
      </c>
    </row>
    <row r="387" spans="1:15" hidden="1">
      <c r="A387" t="s">
        <v>15</v>
      </c>
      <c r="B387" t="str">
        <f>"FES1162687932"</f>
        <v>FES1162687932</v>
      </c>
      <c r="C387" s="9">
        <v>43588</v>
      </c>
      <c r="D387">
        <v>1</v>
      </c>
      <c r="E387">
        <v>2170685669</v>
      </c>
      <c r="F387" t="s">
        <v>16</v>
      </c>
      <c r="G387" t="s">
        <v>17</v>
      </c>
      <c r="H387" t="s">
        <v>290</v>
      </c>
      <c r="I387" t="s">
        <v>601</v>
      </c>
      <c r="J387" t="s">
        <v>602</v>
      </c>
      <c r="K387" s="9">
        <v>43591</v>
      </c>
      <c r="L387" s="10">
        <v>0.63541666666666663</v>
      </c>
      <c r="M387" t="s">
        <v>823</v>
      </c>
      <c r="N387" t="s">
        <v>824</v>
      </c>
      <c r="O387" t="s">
        <v>22</v>
      </c>
    </row>
    <row r="388" spans="1:15" hidden="1">
      <c r="A388" t="s">
        <v>15</v>
      </c>
      <c r="B388" t="str">
        <f>"FES1162687997"</f>
        <v>FES1162687997</v>
      </c>
      <c r="C388" s="9">
        <v>43588</v>
      </c>
      <c r="D388">
        <v>1</v>
      </c>
      <c r="E388">
        <v>2170685417</v>
      </c>
      <c r="F388" t="s">
        <v>16</v>
      </c>
      <c r="G388" t="s">
        <v>17</v>
      </c>
      <c r="H388" t="s">
        <v>32</v>
      </c>
      <c r="I388" t="s">
        <v>269</v>
      </c>
      <c r="J388" t="s">
        <v>683</v>
      </c>
      <c r="K388" s="9">
        <v>43591</v>
      </c>
      <c r="L388" s="10">
        <v>0.36805555555555558</v>
      </c>
      <c r="M388" t="s">
        <v>684</v>
      </c>
      <c r="N388" t="s">
        <v>825</v>
      </c>
      <c r="O388" t="s">
        <v>22</v>
      </c>
    </row>
    <row r="389" spans="1:15" hidden="1">
      <c r="A389" t="s">
        <v>15</v>
      </c>
      <c r="B389" t="str">
        <f>"FES1162687992"</f>
        <v>FES1162687992</v>
      </c>
      <c r="C389" s="9">
        <v>43588</v>
      </c>
      <c r="D389">
        <v>1</v>
      </c>
      <c r="E389">
        <v>2170686059</v>
      </c>
      <c r="F389" t="s">
        <v>16</v>
      </c>
      <c r="G389" t="s">
        <v>17</v>
      </c>
      <c r="H389" t="s">
        <v>290</v>
      </c>
      <c r="I389" t="s">
        <v>309</v>
      </c>
      <c r="J389" t="s">
        <v>310</v>
      </c>
      <c r="K389" s="9">
        <v>43591</v>
      </c>
      <c r="L389" s="10">
        <v>0.41666666666666669</v>
      </c>
      <c r="M389" t="s">
        <v>826</v>
      </c>
      <c r="N389" t="s">
        <v>827</v>
      </c>
      <c r="O389" t="s">
        <v>22</v>
      </c>
    </row>
    <row r="390" spans="1:15" hidden="1">
      <c r="A390" t="s">
        <v>15</v>
      </c>
      <c r="B390" t="str">
        <f>"FES1162688020"</f>
        <v>FES1162688020</v>
      </c>
      <c r="C390" s="9">
        <v>43588</v>
      </c>
      <c r="D390">
        <v>1</v>
      </c>
      <c r="E390">
        <v>2170686850</v>
      </c>
      <c r="F390" t="s">
        <v>16</v>
      </c>
      <c r="G390" t="s">
        <v>17</v>
      </c>
      <c r="H390" t="s">
        <v>43</v>
      </c>
      <c r="I390" t="s">
        <v>44</v>
      </c>
      <c r="J390" t="s">
        <v>207</v>
      </c>
      <c r="K390" s="9">
        <v>43591</v>
      </c>
      <c r="L390" s="10">
        <v>0.41666666666666669</v>
      </c>
      <c r="M390" t="s">
        <v>208</v>
      </c>
      <c r="N390" t="s">
        <v>828</v>
      </c>
      <c r="O390" t="s">
        <v>22</v>
      </c>
    </row>
    <row r="391" spans="1:15" hidden="1">
      <c r="A391" t="s">
        <v>15</v>
      </c>
      <c r="B391" t="str">
        <f>"FES1162687933"</f>
        <v>FES1162687933</v>
      </c>
      <c r="C391" s="9">
        <v>43588</v>
      </c>
      <c r="D391">
        <v>1</v>
      </c>
      <c r="E391">
        <v>2170685752</v>
      </c>
      <c r="F391" t="s">
        <v>16</v>
      </c>
      <c r="G391" t="s">
        <v>17</v>
      </c>
      <c r="H391" t="s">
        <v>300</v>
      </c>
      <c r="I391" t="s">
        <v>301</v>
      </c>
      <c r="J391" t="s">
        <v>829</v>
      </c>
      <c r="K391" s="9">
        <v>43591</v>
      </c>
      <c r="L391" s="10">
        <v>0.34791666666666665</v>
      </c>
      <c r="M391" t="s">
        <v>830</v>
      </c>
      <c r="N391" t="s">
        <v>831</v>
      </c>
      <c r="O391" t="s">
        <v>22</v>
      </c>
    </row>
    <row r="392" spans="1:15" hidden="1">
      <c r="A392" t="s">
        <v>15</v>
      </c>
      <c r="B392" t="str">
        <f>"FES1162688004"</f>
        <v>FES1162688004</v>
      </c>
      <c r="C392" s="9">
        <v>43588</v>
      </c>
      <c r="D392">
        <v>1</v>
      </c>
      <c r="E392">
        <v>2170686828</v>
      </c>
      <c r="F392" t="s">
        <v>16</v>
      </c>
      <c r="G392" t="s">
        <v>17</v>
      </c>
      <c r="H392" t="s">
        <v>32</v>
      </c>
      <c r="I392" t="s">
        <v>33</v>
      </c>
      <c r="J392" t="s">
        <v>832</v>
      </c>
      <c r="K392" s="9">
        <v>43591</v>
      </c>
      <c r="L392" s="10">
        <v>0.42708333333333331</v>
      </c>
      <c r="M392" t="s">
        <v>787</v>
      </c>
      <c r="N392" t="s">
        <v>833</v>
      </c>
      <c r="O392" t="s">
        <v>22</v>
      </c>
    </row>
    <row r="393" spans="1:15" hidden="1">
      <c r="A393" t="s">
        <v>15</v>
      </c>
      <c r="B393" t="str">
        <f>"FES1162687931"</f>
        <v>FES1162687931</v>
      </c>
      <c r="C393" s="9">
        <v>43588</v>
      </c>
      <c r="D393">
        <v>1</v>
      </c>
      <c r="E393">
        <v>2170685637</v>
      </c>
      <c r="F393" t="s">
        <v>16</v>
      </c>
      <c r="G393" t="s">
        <v>17</v>
      </c>
      <c r="H393" t="s">
        <v>43</v>
      </c>
      <c r="I393" t="s">
        <v>44</v>
      </c>
      <c r="J393" t="s">
        <v>207</v>
      </c>
      <c r="K393" s="9">
        <v>43591</v>
      </c>
      <c r="L393" s="10">
        <v>0.41666666666666669</v>
      </c>
      <c r="M393" t="s">
        <v>208</v>
      </c>
      <c r="N393" t="s">
        <v>834</v>
      </c>
      <c r="O393" t="s">
        <v>22</v>
      </c>
    </row>
    <row r="394" spans="1:15" hidden="1">
      <c r="A394" t="s">
        <v>15</v>
      </c>
      <c r="B394" t="str">
        <f>"FES1162687985"</f>
        <v>FES1162687985</v>
      </c>
      <c r="C394" s="9">
        <v>43588</v>
      </c>
      <c r="D394">
        <v>1</v>
      </c>
      <c r="E394">
        <v>2170686039</v>
      </c>
      <c r="F394" t="s">
        <v>16</v>
      </c>
      <c r="G394" t="s">
        <v>17</v>
      </c>
      <c r="H394" t="s">
        <v>290</v>
      </c>
      <c r="I394" t="s">
        <v>309</v>
      </c>
      <c r="J394" t="s">
        <v>310</v>
      </c>
      <c r="K394" s="9">
        <v>43591</v>
      </c>
      <c r="L394" s="10">
        <v>0.41805555555555557</v>
      </c>
      <c r="M394" t="s">
        <v>311</v>
      </c>
      <c r="N394" t="s">
        <v>835</v>
      </c>
      <c r="O394" t="s">
        <v>22</v>
      </c>
    </row>
    <row r="395" spans="1:15">
      <c r="A395" s="6" t="s">
        <v>15</v>
      </c>
      <c r="B395" s="6" t="str">
        <f>"FES1162688034"</f>
        <v>FES1162688034</v>
      </c>
      <c r="C395" s="7">
        <v>43588</v>
      </c>
      <c r="D395" s="6">
        <v>1</v>
      </c>
      <c r="E395" s="6">
        <v>2170686873</v>
      </c>
      <c r="F395" s="6" t="s">
        <v>16</v>
      </c>
      <c r="G395" s="6" t="s">
        <v>17</v>
      </c>
      <c r="H395" s="6" t="s">
        <v>17</v>
      </c>
      <c r="I395" s="6" t="s">
        <v>64</v>
      </c>
      <c r="J395" s="6" t="s">
        <v>116</v>
      </c>
      <c r="K395" s="7">
        <v>43591</v>
      </c>
      <c r="L395" s="8">
        <v>0.33333333333333331</v>
      </c>
      <c r="M395" s="6" t="s">
        <v>836</v>
      </c>
      <c r="N395" s="6" t="s">
        <v>21</v>
      </c>
      <c r="O395" s="6" t="s">
        <v>22</v>
      </c>
    </row>
    <row r="396" spans="1:15">
      <c r="A396" s="6" t="s">
        <v>15</v>
      </c>
      <c r="B396" s="6" t="str">
        <f>"FES1162688008"</f>
        <v>FES1162688008</v>
      </c>
      <c r="C396" s="7">
        <v>43588</v>
      </c>
      <c r="D396" s="6">
        <v>1</v>
      </c>
      <c r="E396" s="6">
        <v>2170686830</v>
      </c>
      <c r="F396" s="6" t="s">
        <v>16</v>
      </c>
      <c r="G396" s="6" t="s">
        <v>17</v>
      </c>
      <c r="H396" s="6" t="s">
        <v>17</v>
      </c>
      <c r="I396" s="6" t="s">
        <v>18</v>
      </c>
      <c r="J396" s="6" t="s">
        <v>19</v>
      </c>
      <c r="K396" s="7">
        <v>43591</v>
      </c>
      <c r="L396" s="8">
        <v>0.39583333333333331</v>
      </c>
      <c r="M396" s="6" t="s">
        <v>20</v>
      </c>
      <c r="N396" s="6" t="s">
        <v>21</v>
      </c>
      <c r="O396" s="6" t="s">
        <v>22</v>
      </c>
    </row>
    <row r="397" spans="1:15" hidden="1">
      <c r="A397" t="s">
        <v>15</v>
      </c>
      <c r="B397" t="str">
        <f>"FES1162687991"</f>
        <v>FES1162687991</v>
      </c>
      <c r="C397" s="9">
        <v>43588</v>
      </c>
      <c r="D397">
        <v>1</v>
      </c>
      <c r="E397">
        <v>2170686052</v>
      </c>
      <c r="F397" t="s">
        <v>16</v>
      </c>
      <c r="G397" t="s">
        <v>17</v>
      </c>
      <c r="H397" t="s">
        <v>290</v>
      </c>
      <c r="I397" t="s">
        <v>309</v>
      </c>
      <c r="J397" t="s">
        <v>310</v>
      </c>
      <c r="K397" s="9">
        <v>43591</v>
      </c>
      <c r="L397" s="10">
        <v>0.41666666666666669</v>
      </c>
      <c r="M397" t="s">
        <v>311</v>
      </c>
      <c r="N397" t="s">
        <v>837</v>
      </c>
      <c r="O397" t="s">
        <v>22</v>
      </c>
    </row>
    <row r="398" spans="1:15" hidden="1">
      <c r="A398" t="s">
        <v>15</v>
      </c>
      <c r="B398" t="str">
        <f>"FES1162687874"</f>
        <v>FES1162687874</v>
      </c>
      <c r="C398" s="9">
        <v>43588</v>
      </c>
      <c r="D398">
        <v>1</v>
      </c>
      <c r="E398">
        <v>2170686738</v>
      </c>
      <c r="F398" t="s">
        <v>16</v>
      </c>
      <c r="G398" t="s">
        <v>17</v>
      </c>
      <c r="H398" t="s">
        <v>132</v>
      </c>
      <c r="I398" t="s">
        <v>838</v>
      </c>
      <c r="J398" t="s">
        <v>839</v>
      </c>
      <c r="K398" s="9">
        <v>43591</v>
      </c>
      <c r="L398" s="10">
        <v>0.51041666666666663</v>
      </c>
      <c r="M398" t="s">
        <v>840</v>
      </c>
      <c r="N398" t="s">
        <v>841</v>
      </c>
      <c r="O398" t="s">
        <v>22</v>
      </c>
    </row>
    <row r="399" spans="1:15" hidden="1">
      <c r="A399" t="s">
        <v>15</v>
      </c>
      <c r="B399" t="str">
        <f>"FES1162688026"</f>
        <v>FES1162688026</v>
      </c>
      <c r="C399" s="9">
        <v>43588</v>
      </c>
      <c r="D399">
        <v>1</v>
      </c>
      <c r="E399">
        <v>2170686860</v>
      </c>
      <c r="F399" t="s">
        <v>16</v>
      </c>
      <c r="G399" t="s">
        <v>17</v>
      </c>
      <c r="H399" t="s">
        <v>43</v>
      </c>
      <c r="I399" t="s">
        <v>44</v>
      </c>
      <c r="J399" t="s">
        <v>51</v>
      </c>
      <c r="K399" s="9">
        <v>43591</v>
      </c>
      <c r="L399" s="10">
        <v>0.41666666666666669</v>
      </c>
      <c r="M399" t="s">
        <v>646</v>
      </c>
      <c r="N399" t="s">
        <v>842</v>
      </c>
      <c r="O399" t="s">
        <v>22</v>
      </c>
    </row>
    <row r="400" spans="1:15" hidden="1">
      <c r="A400" t="s">
        <v>15</v>
      </c>
      <c r="B400" t="str">
        <f>"FES1162687826"</f>
        <v>FES1162687826</v>
      </c>
      <c r="C400" s="9">
        <v>43588</v>
      </c>
      <c r="D400">
        <v>1</v>
      </c>
      <c r="E400">
        <v>2170686693</v>
      </c>
      <c r="F400" t="s">
        <v>16</v>
      </c>
      <c r="G400" t="s">
        <v>17</v>
      </c>
      <c r="H400" t="s">
        <v>32</v>
      </c>
      <c r="I400" t="s">
        <v>33</v>
      </c>
      <c r="J400" t="s">
        <v>843</v>
      </c>
      <c r="K400" s="9">
        <v>43591</v>
      </c>
      <c r="L400" s="10">
        <v>0.41805555555555557</v>
      </c>
      <c r="M400" t="s">
        <v>844</v>
      </c>
      <c r="N400" t="s">
        <v>845</v>
      </c>
      <c r="O400" t="s">
        <v>22</v>
      </c>
    </row>
    <row r="401" spans="1:15" hidden="1">
      <c r="A401" t="s">
        <v>15</v>
      </c>
      <c r="B401" t="str">
        <f>"FES1162687980"</f>
        <v>FES1162687980</v>
      </c>
      <c r="C401" s="9">
        <v>43588</v>
      </c>
      <c r="D401">
        <v>1</v>
      </c>
      <c r="E401">
        <v>2170686807</v>
      </c>
      <c r="F401" t="s">
        <v>16</v>
      </c>
      <c r="G401" t="s">
        <v>17</v>
      </c>
      <c r="H401" t="s">
        <v>132</v>
      </c>
      <c r="I401" t="s">
        <v>133</v>
      </c>
      <c r="J401" t="s">
        <v>846</v>
      </c>
      <c r="K401" s="9">
        <v>43591</v>
      </c>
      <c r="L401" s="10">
        <v>0.43194444444444446</v>
      </c>
      <c r="M401" t="s">
        <v>847</v>
      </c>
      <c r="N401" t="s">
        <v>848</v>
      </c>
      <c r="O401" t="s">
        <v>22</v>
      </c>
    </row>
    <row r="402" spans="1:15" hidden="1">
      <c r="A402" t="s">
        <v>15</v>
      </c>
      <c r="B402" t="str">
        <f>"FES1162687880"</f>
        <v>FES1162687880</v>
      </c>
      <c r="C402" s="9">
        <v>43588</v>
      </c>
      <c r="D402">
        <v>1</v>
      </c>
      <c r="E402">
        <v>2170686475</v>
      </c>
      <c r="F402" t="s">
        <v>16</v>
      </c>
      <c r="G402" t="s">
        <v>17</v>
      </c>
      <c r="H402" t="s">
        <v>141</v>
      </c>
      <c r="I402" t="s">
        <v>142</v>
      </c>
      <c r="J402" t="s">
        <v>213</v>
      </c>
      <c r="K402" s="9">
        <v>43591</v>
      </c>
      <c r="L402" s="10">
        <v>0.36805555555555558</v>
      </c>
      <c r="M402" t="s">
        <v>214</v>
      </c>
      <c r="N402" t="s">
        <v>849</v>
      </c>
      <c r="O402" t="s">
        <v>22</v>
      </c>
    </row>
    <row r="403" spans="1:15" hidden="1">
      <c r="A403" t="s">
        <v>15</v>
      </c>
      <c r="B403" t="str">
        <f>"FES1162687871"</f>
        <v>FES1162687871</v>
      </c>
      <c r="C403" s="9">
        <v>43588</v>
      </c>
      <c r="D403">
        <v>1</v>
      </c>
      <c r="E403">
        <v>2170686735</v>
      </c>
      <c r="F403" t="s">
        <v>16</v>
      </c>
      <c r="G403" t="s">
        <v>17</v>
      </c>
      <c r="H403" t="s">
        <v>425</v>
      </c>
      <c r="I403" t="s">
        <v>426</v>
      </c>
      <c r="J403" t="s">
        <v>783</v>
      </c>
      <c r="K403" s="9">
        <v>43591</v>
      </c>
      <c r="L403" s="10">
        <v>0.43124999999999997</v>
      </c>
      <c r="M403" t="s">
        <v>784</v>
      </c>
      <c r="N403" t="s">
        <v>850</v>
      </c>
      <c r="O403" t="s">
        <v>22</v>
      </c>
    </row>
    <row r="404" spans="1:15" hidden="1">
      <c r="A404" t="s">
        <v>15</v>
      </c>
      <c r="B404" t="str">
        <f>"FES1162687979"</f>
        <v>FES1162687979</v>
      </c>
      <c r="C404" s="9">
        <v>43588</v>
      </c>
      <c r="D404">
        <v>1</v>
      </c>
      <c r="E404">
        <v>2170686805</v>
      </c>
      <c r="F404" t="s">
        <v>16</v>
      </c>
      <c r="G404" t="s">
        <v>17</v>
      </c>
      <c r="H404" t="s">
        <v>132</v>
      </c>
      <c r="I404" t="s">
        <v>838</v>
      </c>
      <c r="J404" t="s">
        <v>839</v>
      </c>
      <c r="K404" s="9">
        <v>43591</v>
      </c>
      <c r="L404" s="10">
        <v>0.51041666666666663</v>
      </c>
      <c r="M404" t="s">
        <v>851</v>
      </c>
      <c r="N404" t="s">
        <v>852</v>
      </c>
      <c r="O404" t="s">
        <v>22</v>
      </c>
    </row>
    <row r="405" spans="1:15" hidden="1">
      <c r="A405" t="s">
        <v>15</v>
      </c>
      <c r="B405" t="str">
        <f>"FES1162687950"</f>
        <v>FES1162687950</v>
      </c>
      <c r="C405" s="9">
        <v>43588</v>
      </c>
      <c r="D405">
        <v>1</v>
      </c>
      <c r="E405">
        <v>2170686412</v>
      </c>
      <c r="F405" t="s">
        <v>16</v>
      </c>
      <c r="G405" t="s">
        <v>17</v>
      </c>
      <c r="H405" t="s">
        <v>132</v>
      </c>
      <c r="I405" t="s">
        <v>137</v>
      </c>
      <c r="J405" t="s">
        <v>138</v>
      </c>
      <c r="K405" s="9">
        <v>43591</v>
      </c>
      <c r="L405" s="10">
        <v>0.46875</v>
      </c>
      <c r="M405" t="s">
        <v>446</v>
      </c>
      <c r="N405" t="s">
        <v>853</v>
      </c>
      <c r="O405" t="s">
        <v>22</v>
      </c>
    </row>
    <row r="406" spans="1:15" hidden="1">
      <c r="A406" t="s">
        <v>15</v>
      </c>
      <c r="B406" t="str">
        <f>"FES1162687891"</f>
        <v>FES1162687891</v>
      </c>
      <c r="C406" s="9">
        <v>43588</v>
      </c>
      <c r="D406">
        <v>1</v>
      </c>
      <c r="E406">
        <v>2170685906</v>
      </c>
      <c r="F406" t="s">
        <v>16</v>
      </c>
      <c r="G406" t="s">
        <v>17</v>
      </c>
      <c r="H406" t="s">
        <v>141</v>
      </c>
      <c r="I406" t="s">
        <v>854</v>
      </c>
      <c r="J406" t="s">
        <v>578</v>
      </c>
      <c r="K406" s="9">
        <v>43591</v>
      </c>
      <c r="L406" s="10">
        <v>0.34652777777777777</v>
      </c>
      <c r="M406" t="s">
        <v>855</v>
      </c>
      <c r="N406" t="s">
        <v>856</v>
      </c>
      <c r="O406" t="s">
        <v>22</v>
      </c>
    </row>
    <row r="407" spans="1:15" hidden="1">
      <c r="A407" t="s">
        <v>15</v>
      </c>
      <c r="B407" t="str">
        <f>"FES1162687892"</f>
        <v>FES1162687892</v>
      </c>
      <c r="C407" s="9">
        <v>43588</v>
      </c>
      <c r="D407">
        <v>1</v>
      </c>
      <c r="E407">
        <v>217068654</v>
      </c>
      <c r="F407" t="s">
        <v>16</v>
      </c>
      <c r="G407" t="s">
        <v>17</v>
      </c>
      <c r="H407" t="s">
        <v>141</v>
      </c>
      <c r="I407" t="s">
        <v>464</v>
      </c>
      <c r="J407" t="s">
        <v>857</v>
      </c>
      <c r="K407" s="9">
        <v>43591</v>
      </c>
      <c r="L407" s="10">
        <v>0.36458333333333331</v>
      </c>
      <c r="M407" t="s">
        <v>858</v>
      </c>
      <c r="N407" t="s">
        <v>859</v>
      </c>
      <c r="O407" t="s">
        <v>22</v>
      </c>
    </row>
    <row r="408" spans="1:15" hidden="1">
      <c r="A408" t="s">
        <v>15</v>
      </c>
      <c r="B408" t="str">
        <f>"FES1162687961"</f>
        <v>FES1162687961</v>
      </c>
      <c r="C408" s="9">
        <v>43588</v>
      </c>
      <c r="D408">
        <v>1</v>
      </c>
      <c r="E408">
        <v>2170686780</v>
      </c>
      <c r="F408" t="s">
        <v>16</v>
      </c>
      <c r="G408" t="s">
        <v>17</v>
      </c>
      <c r="H408" t="s">
        <v>43</v>
      </c>
      <c r="I408" t="s">
        <v>44</v>
      </c>
      <c r="J408" t="s">
        <v>860</v>
      </c>
      <c r="K408" s="9">
        <v>43591</v>
      </c>
      <c r="L408" s="10">
        <v>0.41666666666666669</v>
      </c>
      <c r="M408" t="s">
        <v>861</v>
      </c>
      <c r="N408" t="s">
        <v>862</v>
      </c>
      <c r="O408" t="s">
        <v>22</v>
      </c>
    </row>
    <row r="409" spans="1:15" hidden="1">
      <c r="A409" t="s">
        <v>15</v>
      </c>
      <c r="B409" t="str">
        <f>"FES1162687938"</f>
        <v>FES1162687938</v>
      </c>
      <c r="C409" s="9">
        <v>43588</v>
      </c>
      <c r="D409">
        <v>1</v>
      </c>
      <c r="E409">
        <v>2170685871</v>
      </c>
      <c r="F409" t="s">
        <v>16</v>
      </c>
      <c r="G409" t="s">
        <v>17</v>
      </c>
      <c r="H409" t="s">
        <v>43</v>
      </c>
      <c r="I409" t="s">
        <v>44</v>
      </c>
      <c r="J409" t="s">
        <v>51</v>
      </c>
      <c r="K409" s="9">
        <v>43591</v>
      </c>
      <c r="L409" s="10">
        <v>0.41666666666666669</v>
      </c>
      <c r="M409" t="s">
        <v>646</v>
      </c>
      <c r="N409" t="s">
        <v>863</v>
      </c>
      <c r="O409" t="s">
        <v>22</v>
      </c>
    </row>
    <row r="410" spans="1:15" hidden="1">
      <c r="A410" t="s">
        <v>15</v>
      </c>
      <c r="B410" t="str">
        <f>"FES1162687836"</f>
        <v>FES1162687836</v>
      </c>
      <c r="C410" s="9">
        <v>43588</v>
      </c>
      <c r="D410">
        <v>1</v>
      </c>
      <c r="E410">
        <v>2170686704</v>
      </c>
      <c r="F410" t="s">
        <v>16</v>
      </c>
      <c r="G410" t="s">
        <v>17</v>
      </c>
      <c r="H410" t="s">
        <v>141</v>
      </c>
      <c r="I410" t="s">
        <v>142</v>
      </c>
      <c r="J410" t="s">
        <v>864</v>
      </c>
      <c r="K410" s="9">
        <v>43591</v>
      </c>
      <c r="L410" s="10">
        <v>0.4375</v>
      </c>
      <c r="M410" t="s">
        <v>865</v>
      </c>
      <c r="N410" t="s">
        <v>866</v>
      </c>
      <c r="O410" t="s">
        <v>22</v>
      </c>
    </row>
    <row r="411" spans="1:15" hidden="1">
      <c r="A411" t="s">
        <v>15</v>
      </c>
      <c r="B411" t="str">
        <f>"FES1162687879"</f>
        <v>FES1162687879</v>
      </c>
      <c r="C411" s="9">
        <v>43588</v>
      </c>
      <c r="D411">
        <v>1</v>
      </c>
      <c r="E411">
        <v>2170686744</v>
      </c>
      <c r="F411" t="s">
        <v>16</v>
      </c>
      <c r="G411" t="s">
        <v>17</v>
      </c>
      <c r="H411" t="s">
        <v>141</v>
      </c>
      <c r="I411" t="s">
        <v>142</v>
      </c>
      <c r="J411" t="s">
        <v>195</v>
      </c>
      <c r="K411" s="9">
        <v>43591</v>
      </c>
      <c r="L411" s="10">
        <v>0.37152777777777773</v>
      </c>
      <c r="M411" t="s">
        <v>588</v>
      </c>
      <c r="N411" t="s">
        <v>867</v>
      </c>
      <c r="O411" t="s">
        <v>22</v>
      </c>
    </row>
    <row r="412" spans="1:15" hidden="1">
      <c r="A412" t="s">
        <v>15</v>
      </c>
      <c r="B412" t="str">
        <f>"FES1162687971"</f>
        <v>FES1162687971</v>
      </c>
      <c r="C412" s="9">
        <v>43588</v>
      </c>
      <c r="D412">
        <v>1</v>
      </c>
      <c r="E412">
        <v>2170686793</v>
      </c>
      <c r="F412" t="s">
        <v>16</v>
      </c>
      <c r="G412" t="s">
        <v>17</v>
      </c>
      <c r="H412" t="s">
        <v>32</v>
      </c>
      <c r="I412" t="s">
        <v>33</v>
      </c>
      <c r="J412" t="s">
        <v>357</v>
      </c>
      <c r="K412" s="9">
        <v>43591</v>
      </c>
      <c r="L412" s="10">
        <v>0.38194444444444442</v>
      </c>
      <c r="M412" t="s">
        <v>868</v>
      </c>
      <c r="N412" t="s">
        <v>869</v>
      </c>
      <c r="O412" t="s">
        <v>22</v>
      </c>
    </row>
    <row r="413" spans="1:15">
      <c r="A413" s="6" t="s">
        <v>15</v>
      </c>
      <c r="B413" s="6" t="str">
        <f>"FES1162688021"</f>
        <v>FES1162688021</v>
      </c>
      <c r="C413" s="7">
        <v>43588</v>
      </c>
      <c r="D413" s="6">
        <v>1</v>
      </c>
      <c r="E413" s="6">
        <v>2170686852</v>
      </c>
      <c r="F413" s="6" t="s">
        <v>16</v>
      </c>
      <c r="G413" s="6" t="s">
        <v>17</v>
      </c>
      <c r="H413" s="6" t="s">
        <v>17</v>
      </c>
      <c r="I413" s="6" t="s">
        <v>103</v>
      </c>
      <c r="J413" s="6" t="s">
        <v>870</v>
      </c>
      <c r="K413" s="7">
        <v>43591</v>
      </c>
      <c r="L413" s="8">
        <v>0.41666666666666669</v>
      </c>
      <c r="M413" s="6" t="s">
        <v>871</v>
      </c>
      <c r="N413" s="6" t="s">
        <v>21</v>
      </c>
      <c r="O413" s="6" t="s">
        <v>22</v>
      </c>
    </row>
    <row r="414" spans="1:15" hidden="1">
      <c r="A414" t="s">
        <v>15</v>
      </c>
      <c r="B414" t="str">
        <f>"FES1162687966"</f>
        <v>FES1162687966</v>
      </c>
      <c r="C414" s="9">
        <v>43588</v>
      </c>
      <c r="D414">
        <v>1</v>
      </c>
      <c r="E414">
        <v>2170686878</v>
      </c>
      <c r="F414" t="s">
        <v>16</v>
      </c>
      <c r="G414" t="s">
        <v>17</v>
      </c>
      <c r="H414" t="s">
        <v>290</v>
      </c>
      <c r="I414" t="s">
        <v>309</v>
      </c>
      <c r="J414" t="s">
        <v>331</v>
      </c>
      <c r="K414" s="9">
        <v>43591</v>
      </c>
      <c r="L414" s="10">
        <v>0.4236111111111111</v>
      </c>
      <c r="M414" t="s">
        <v>332</v>
      </c>
      <c r="N414" t="s">
        <v>872</v>
      </c>
      <c r="O414" t="s">
        <v>22</v>
      </c>
    </row>
    <row r="415" spans="1:15" hidden="1">
      <c r="A415" t="s">
        <v>15</v>
      </c>
      <c r="B415" t="str">
        <f>"FES1162688027"</f>
        <v>FES1162688027</v>
      </c>
      <c r="C415" s="9">
        <v>43588</v>
      </c>
      <c r="D415">
        <v>1</v>
      </c>
      <c r="E415">
        <v>2170686861</v>
      </c>
      <c r="F415" t="s">
        <v>16</v>
      </c>
      <c r="G415" t="s">
        <v>17</v>
      </c>
      <c r="H415" t="s">
        <v>32</v>
      </c>
      <c r="I415" t="s">
        <v>342</v>
      </c>
      <c r="J415" t="s">
        <v>346</v>
      </c>
      <c r="K415" s="9">
        <v>43591</v>
      </c>
      <c r="L415" s="10">
        <v>0.34027777777777773</v>
      </c>
      <c r="M415" t="s">
        <v>873</v>
      </c>
      <c r="N415" t="s">
        <v>874</v>
      </c>
      <c r="O415" t="s">
        <v>22</v>
      </c>
    </row>
    <row r="416" spans="1:15" hidden="1">
      <c r="A416" t="s">
        <v>15</v>
      </c>
      <c r="B416" t="str">
        <f>"FES1162687969"</f>
        <v>FES1162687969</v>
      </c>
      <c r="C416" s="9">
        <v>43588</v>
      </c>
      <c r="D416">
        <v>1</v>
      </c>
      <c r="E416">
        <v>2170686791</v>
      </c>
      <c r="F416" t="s">
        <v>16</v>
      </c>
      <c r="G416" t="s">
        <v>17</v>
      </c>
      <c r="H416" t="s">
        <v>59</v>
      </c>
      <c r="I416" t="s">
        <v>64</v>
      </c>
      <c r="J416" t="s">
        <v>875</v>
      </c>
      <c r="K416" s="9">
        <v>43591</v>
      </c>
      <c r="L416" s="10">
        <v>0.43055555555555558</v>
      </c>
      <c r="M416" t="s">
        <v>876</v>
      </c>
      <c r="N416" t="s">
        <v>877</v>
      </c>
      <c r="O416" t="s">
        <v>22</v>
      </c>
    </row>
    <row r="417" spans="1:15">
      <c r="A417" s="6" t="s">
        <v>15</v>
      </c>
      <c r="B417" s="6" t="str">
        <f>"FES1162687958"</f>
        <v>FES1162687958</v>
      </c>
      <c r="C417" s="7">
        <v>43588</v>
      </c>
      <c r="D417" s="6">
        <v>1</v>
      </c>
      <c r="E417" s="6">
        <v>2170686775</v>
      </c>
      <c r="F417" s="6" t="s">
        <v>16</v>
      </c>
      <c r="G417" s="6" t="s">
        <v>17</v>
      </c>
      <c r="H417" s="6" t="s">
        <v>17</v>
      </c>
      <c r="I417" s="6" t="s">
        <v>64</v>
      </c>
      <c r="J417" s="6" t="s">
        <v>878</v>
      </c>
      <c r="K417" s="7">
        <v>43591</v>
      </c>
      <c r="L417" s="8">
        <v>0.33333333333333331</v>
      </c>
      <c r="M417" s="6" t="s">
        <v>879</v>
      </c>
      <c r="N417" s="6" t="s">
        <v>21</v>
      </c>
      <c r="O417" s="6" t="s">
        <v>22</v>
      </c>
    </row>
    <row r="418" spans="1:15" hidden="1">
      <c r="A418" t="s">
        <v>15</v>
      </c>
      <c r="B418" t="str">
        <f>"FES1162687851"</f>
        <v>FES1162687851</v>
      </c>
      <c r="C418" s="9">
        <v>43588</v>
      </c>
      <c r="D418">
        <v>1</v>
      </c>
      <c r="E418">
        <v>2170686723</v>
      </c>
      <c r="F418" t="s">
        <v>16</v>
      </c>
      <c r="G418" t="s">
        <v>17</v>
      </c>
      <c r="H418" t="s">
        <v>141</v>
      </c>
      <c r="I418" t="s">
        <v>142</v>
      </c>
      <c r="J418" t="s">
        <v>880</v>
      </c>
      <c r="K418" s="9">
        <v>43591</v>
      </c>
      <c r="L418" s="10">
        <v>0.33611111111111108</v>
      </c>
      <c r="M418" t="s">
        <v>881</v>
      </c>
      <c r="N418" t="s">
        <v>882</v>
      </c>
      <c r="O418" t="s">
        <v>22</v>
      </c>
    </row>
    <row r="419" spans="1:15" hidden="1">
      <c r="A419" t="s">
        <v>15</v>
      </c>
      <c r="B419" t="str">
        <f>"FES1162687970"</f>
        <v>FES1162687970</v>
      </c>
      <c r="C419" s="9">
        <v>43588</v>
      </c>
      <c r="D419">
        <v>1</v>
      </c>
      <c r="E419">
        <v>2170686792</v>
      </c>
      <c r="F419" t="s">
        <v>16</v>
      </c>
      <c r="G419" t="s">
        <v>17</v>
      </c>
      <c r="H419" t="s">
        <v>32</v>
      </c>
      <c r="I419" t="s">
        <v>33</v>
      </c>
      <c r="J419" t="s">
        <v>452</v>
      </c>
      <c r="K419" s="9">
        <v>43591</v>
      </c>
      <c r="L419" s="10">
        <v>0.3888888888888889</v>
      </c>
      <c r="M419" t="s">
        <v>883</v>
      </c>
      <c r="N419" t="s">
        <v>884</v>
      </c>
      <c r="O419" t="s">
        <v>22</v>
      </c>
    </row>
    <row r="420" spans="1:15">
      <c r="A420" s="6" t="s">
        <v>15</v>
      </c>
      <c r="B420" s="6" t="str">
        <f>"FES1162688000"</f>
        <v>FES1162688000</v>
      </c>
      <c r="C420" s="7">
        <v>43588</v>
      </c>
      <c r="D420" s="6">
        <v>1</v>
      </c>
      <c r="E420" s="6">
        <v>2170686819</v>
      </c>
      <c r="F420" s="6" t="s">
        <v>16</v>
      </c>
      <c r="G420" s="6" t="s">
        <v>17</v>
      </c>
      <c r="H420" s="6" t="s">
        <v>17</v>
      </c>
      <c r="I420" s="6" t="s">
        <v>421</v>
      </c>
      <c r="J420" s="6" t="s">
        <v>885</v>
      </c>
      <c r="K420" s="7">
        <v>43591</v>
      </c>
      <c r="L420" s="8">
        <v>0.51458333333333328</v>
      </c>
      <c r="M420" s="6" t="s">
        <v>481</v>
      </c>
      <c r="N420" s="6" t="s">
        <v>21</v>
      </c>
      <c r="O420" s="6" t="s">
        <v>22</v>
      </c>
    </row>
    <row r="421" spans="1:15" hidden="1">
      <c r="A421" t="s">
        <v>15</v>
      </c>
      <c r="B421" t="str">
        <f>"FES1162687973"</f>
        <v>FES1162687973</v>
      </c>
      <c r="C421" s="9">
        <v>43588</v>
      </c>
      <c r="D421">
        <v>1</v>
      </c>
      <c r="E421">
        <v>21706868796</v>
      </c>
      <c r="F421" t="s">
        <v>16</v>
      </c>
      <c r="G421" t="s">
        <v>17</v>
      </c>
      <c r="H421" t="s">
        <v>32</v>
      </c>
      <c r="I421" t="s">
        <v>33</v>
      </c>
      <c r="J421" t="s">
        <v>357</v>
      </c>
      <c r="K421" s="9">
        <v>43591</v>
      </c>
      <c r="L421" s="10">
        <v>0.38194444444444442</v>
      </c>
      <c r="M421" t="s">
        <v>868</v>
      </c>
      <c r="N421" t="s">
        <v>886</v>
      </c>
      <c r="O421" t="s">
        <v>22</v>
      </c>
    </row>
    <row r="422" spans="1:15" hidden="1">
      <c r="A422" t="s">
        <v>15</v>
      </c>
      <c r="B422" t="str">
        <f>"FES1162688009"</f>
        <v>FES1162688009</v>
      </c>
      <c r="C422" s="9">
        <v>43588</v>
      </c>
      <c r="D422">
        <v>1</v>
      </c>
      <c r="E422">
        <v>2170686832</v>
      </c>
      <c r="F422" t="s">
        <v>16</v>
      </c>
      <c r="G422" t="s">
        <v>17</v>
      </c>
      <c r="H422" t="s">
        <v>887</v>
      </c>
      <c r="I422" t="s">
        <v>888</v>
      </c>
      <c r="J422" t="s">
        <v>889</v>
      </c>
      <c r="K422" s="9">
        <v>43591</v>
      </c>
      <c r="L422" s="10">
        <v>0.47222222222222227</v>
      </c>
      <c r="M422" t="s">
        <v>890</v>
      </c>
      <c r="N422" t="s">
        <v>891</v>
      </c>
      <c r="O422" t="s">
        <v>22</v>
      </c>
    </row>
    <row r="423" spans="1:15" hidden="1">
      <c r="A423" t="s">
        <v>15</v>
      </c>
      <c r="B423" t="str">
        <f>"FES1162687916"</f>
        <v>FES1162687916</v>
      </c>
      <c r="C423" s="9">
        <v>43588</v>
      </c>
      <c r="D423">
        <v>1</v>
      </c>
      <c r="E423">
        <v>2170684527</v>
      </c>
      <c r="F423" t="s">
        <v>16</v>
      </c>
      <c r="G423" t="s">
        <v>17</v>
      </c>
      <c r="H423" t="s">
        <v>43</v>
      </c>
      <c r="I423" t="s">
        <v>54</v>
      </c>
      <c r="J423" t="s">
        <v>216</v>
      </c>
      <c r="K423" s="9">
        <v>43591</v>
      </c>
      <c r="L423" s="10">
        <v>0.41666666666666669</v>
      </c>
      <c r="M423" t="s">
        <v>656</v>
      </c>
      <c r="N423" t="s">
        <v>892</v>
      </c>
      <c r="O423" t="s">
        <v>22</v>
      </c>
    </row>
    <row r="424" spans="1:15">
      <c r="A424" s="6" t="s">
        <v>15</v>
      </c>
      <c r="B424" s="6" t="str">
        <f>"FES1162687914"</f>
        <v>FES1162687914</v>
      </c>
      <c r="C424" s="7">
        <v>43588</v>
      </c>
      <c r="D424" s="6">
        <v>1</v>
      </c>
      <c r="E424" s="6">
        <v>2170684323</v>
      </c>
      <c r="F424" s="6" t="s">
        <v>16</v>
      </c>
      <c r="G424" s="6" t="s">
        <v>17</v>
      </c>
      <c r="H424" s="6" t="s">
        <v>17</v>
      </c>
      <c r="I424" s="6" t="s">
        <v>18</v>
      </c>
      <c r="J424" s="6" t="s">
        <v>19</v>
      </c>
      <c r="K424" s="7">
        <v>43591</v>
      </c>
      <c r="L424" s="8">
        <v>0.39583333333333331</v>
      </c>
      <c r="M424" s="6" t="s">
        <v>20</v>
      </c>
      <c r="N424" s="6" t="s">
        <v>21</v>
      </c>
      <c r="O424" s="6" t="s">
        <v>22</v>
      </c>
    </row>
    <row r="425" spans="1:15" hidden="1">
      <c r="A425" t="s">
        <v>15</v>
      </c>
      <c r="B425" t="str">
        <f>"FES1162687881"</f>
        <v>FES1162687881</v>
      </c>
      <c r="C425" s="9">
        <v>43588</v>
      </c>
      <c r="D425">
        <v>1</v>
      </c>
      <c r="E425">
        <v>2170686746</v>
      </c>
      <c r="F425" t="s">
        <v>16</v>
      </c>
      <c r="G425" t="s">
        <v>17</v>
      </c>
      <c r="H425" t="s">
        <v>43</v>
      </c>
      <c r="I425" t="s">
        <v>44</v>
      </c>
      <c r="J425" t="s">
        <v>176</v>
      </c>
      <c r="K425" s="9">
        <v>43591</v>
      </c>
      <c r="L425" s="10">
        <v>0.34930555555555554</v>
      </c>
      <c r="M425" t="s">
        <v>177</v>
      </c>
      <c r="N425" t="s">
        <v>893</v>
      </c>
      <c r="O425" t="s">
        <v>22</v>
      </c>
    </row>
    <row r="426" spans="1:15" hidden="1">
      <c r="A426" t="s">
        <v>15</v>
      </c>
      <c r="B426" t="str">
        <f>"FES1162687975"</f>
        <v>FES1162687975</v>
      </c>
      <c r="C426" s="9">
        <v>43588</v>
      </c>
      <c r="D426">
        <v>1</v>
      </c>
      <c r="E426">
        <v>2170686797</v>
      </c>
      <c r="F426" t="s">
        <v>16</v>
      </c>
      <c r="G426" t="s">
        <v>17</v>
      </c>
      <c r="H426" t="s">
        <v>32</v>
      </c>
      <c r="I426" t="s">
        <v>33</v>
      </c>
      <c r="J426" t="s">
        <v>357</v>
      </c>
      <c r="K426" s="9">
        <v>43591</v>
      </c>
      <c r="L426" s="10">
        <v>0.38194444444444442</v>
      </c>
      <c r="M426" t="s">
        <v>868</v>
      </c>
      <c r="N426" t="s">
        <v>894</v>
      </c>
      <c r="O426" t="s">
        <v>22</v>
      </c>
    </row>
    <row r="427" spans="1:15" hidden="1">
      <c r="A427" t="s">
        <v>15</v>
      </c>
      <c r="B427" t="str">
        <f>"FES1162687890"</f>
        <v>FES1162687890</v>
      </c>
      <c r="C427" s="9">
        <v>43588</v>
      </c>
      <c r="D427">
        <v>1</v>
      </c>
      <c r="E427">
        <v>2170686240</v>
      </c>
      <c r="F427" t="s">
        <v>16</v>
      </c>
      <c r="G427" t="s">
        <v>17</v>
      </c>
      <c r="H427" t="s">
        <v>141</v>
      </c>
      <c r="I427" t="s">
        <v>142</v>
      </c>
      <c r="J427" t="s">
        <v>895</v>
      </c>
      <c r="K427" s="9">
        <v>43591</v>
      </c>
      <c r="L427" s="10">
        <v>0.41666666666666669</v>
      </c>
      <c r="M427" t="s">
        <v>896</v>
      </c>
      <c r="N427" t="s">
        <v>897</v>
      </c>
      <c r="O427" t="s">
        <v>22</v>
      </c>
    </row>
    <row r="428" spans="1:15">
      <c r="A428" s="6" t="s">
        <v>15</v>
      </c>
      <c r="B428" s="6" t="str">
        <f>"FES1162687919"</f>
        <v>FES1162687919</v>
      </c>
      <c r="C428" s="7">
        <v>43588</v>
      </c>
      <c r="D428" s="6">
        <v>1</v>
      </c>
      <c r="E428" s="6">
        <v>2170684853</v>
      </c>
      <c r="F428" s="6" t="s">
        <v>16</v>
      </c>
      <c r="G428" s="6" t="s">
        <v>17</v>
      </c>
      <c r="H428" s="6" t="s">
        <v>17</v>
      </c>
      <c r="I428" s="6" t="s">
        <v>414</v>
      </c>
      <c r="J428" s="6" t="s">
        <v>609</v>
      </c>
      <c r="K428" s="7">
        <v>43591</v>
      </c>
      <c r="L428" s="8">
        <v>0.33333333333333331</v>
      </c>
      <c r="M428" s="6" t="s">
        <v>56</v>
      </c>
      <c r="N428" s="6" t="s">
        <v>21</v>
      </c>
      <c r="O428" s="6" t="s">
        <v>22</v>
      </c>
    </row>
    <row r="429" spans="1:15" hidden="1">
      <c r="A429" t="s">
        <v>15</v>
      </c>
      <c r="B429" t="str">
        <f>"FES1162687858"</f>
        <v>FES1162687858</v>
      </c>
      <c r="C429" s="9">
        <v>43588</v>
      </c>
      <c r="D429">
        <v>1</v>
      </c>
      <c r="E429">
        <v>2170686379</v>
      </c>
      <c r="F429" t="s">
        <v>16</v>
      </c>
      <c r="G429" t="s">
        <v>17</v>
      </c>
      <c r="H429" t="s">
        <v>141</v>
      </c>
      <c r="I429" t="s">
        <v>898</v>
      </c>
      <c r="J429" t="s">
        <v>899</v>
      </c>
      <c r="K429" s="9">
        <v>43591</v>
      </c>
      <c r="L429" s="10">
        <v>0.55208333333333337</v>
      </c>
      <c r="M429" t="s">
        <v>900</v>
      </c>
      <c r="N429" t="s">
        <v>901</v>
      </c>
      <c r="O429" t="s">
        <v>22</v>
      </c>
    </row>
    <row r="430" spans="1:15">
      <c r="A430" s="6" t="s">
        <v>15</v>
      </c>
      <c r="B430" s="6" t="str">
        <f>"FES1162687936"</f>
        <v>FES1162687936</v>
      </c>
      <c r="C430" s="7">
        <v>43588</v>
      </c>
      <c r="D430" s="6">
        <v>1</v>
      </c>
      <c r="E430" s="6">
        <v>2170685843</v>
      </c>
      <c r="F430" s="6" t="s">
        <v>16</v>
      </c>
      <c r="G430" s="6" t="s">
        <v>17</v>
      </c>
      <c r="H430" s="6" t="s">
        <v>17</v>
      </c>
      <c r="I430" s="6" t="s">
        <v>421</v>
      </c>
      <c r="J430" s="6" t="s">
        <v>422</v>
      </c>
      <c r="K430" s="7">
        <v>43591</v>
      </c>
      <c r="L430" s="8">
        <v>0.43055555555555558</v>
      </c>
      <c r="M430" s="6" t="s">
        <v>902</v>
      </c>
      <c r="N430" s="6" t="s">
        <v>21</v>
      </c>
      <c r="O430" s="6" t="s">
        <v>22</v>
      </c>
    </row>
    <row r="431" spans="1:15" hidden="1">
      <c r="A431" t="s">
        <v>15</v>
      </c>
      <c r="B431" t="str">
        <f>"FES1162687848"</f>
        <v>FES1162687848</v>
      </c>
      <c r="C431" s="9">
        <v>43588</v>
      </c>
      <c r="D431">
        <v>1</v>
      </c>
      <c r="E431">
        <v>2170686718</v>
      </c>
      <c r="F431" t="s">
        <v>16</v>
      </c>
      <c r="G431" t="s">
        <v>17</v>
      </c>
      <c r="H431" t="s">
        <v>141</v>
      </c>
      <c r="I431" t="s">
        <v>142</v>
      </c>
      <c r="J431" t="s">
        <v>143</v>
      </c>
      <c r="K431" s="9">
        <v>43591</v>
      </c>
      <c r="L431" s="10">
        <v>0.36041666666666666</v>
      </c>
      <c r="M431" t="s">
        <v>903</v>
      </c>
      <c r="N431" t="s">
        <v>904</v>
      </c>
      <c r="O431" t="s">
        <v>22</v>
      </c>
    </row>
    <row r="432" spans="1:15">
      <c r="A432" s="6" t="s">
        <v>15</v>
      </c>
      <c r="B432" s="6" t="str">
        <f>"FES1162688006"</f>
        <v>FES1162688006</v>
      </c>
      <c r="C432" s="7">
        <v>43588</v>
      </c>
      <c r="D432" s="6">
        <v>1</v>
      </c>
      <c r="E432" s="6">
        <v>2170682647</v>
      </c>
      <c r="F432" s="6" t="s">
        <v>16</v>
      </c>
      <c r="G432" s="6" t="s">
        <v>17</v>
      </c>
      <c r="H432" s="6" t="s">
        <v>17</v>
      </c>
      <c r="I432" s="6" t="s">
        <v>26</v>
      </c>
      <c r="J432" s="6" t="s">
        <v>905</v>
      </c>
      <c r="K432" s="7">
        <v>43591</v>
      </c>
      <c r="L432" s="8">
        <v>0.42708333333333331</v>
      </c>
      <c r="M432" s="6" t="s">
        <v>120</v>
      </c>
      <c r="N432" s="6" t="s">
        <v>21</v>
      </c>
      <c r="O432" s="6" t="s">
        <v>22</v>
      </c>
    </row>
    <row r="433" spans="1:15" hidden="1">
      <c r="A433" t="s">
        <v>15</v>
      </c>
      <c r="B433" t="str">
        <f>"FES1162687968"</f>
        <v>FES1162687968</v>
      </c>
      <c r="C433" s="9">
        <v>43588</v>
      </c>
      <c r="D433">
        <v>1</v>
      </c>
      <c r="E433">
        <v>2170686790</v>
      </c>
      <c r="F433" t="s">
        <v>16</v>
      </c>
      <c r="G433" t="s">
        <v>17</v>
      </c>
      <c r="H433" t="s">
        <v>141</v>
      </c>
      <c r="I433" t="s">
        <v>185</v>
      </c>
      <c r="J433" t="s">
        <v>906</v>
      </c>
      <c r="K433" s="9">
        <v>43591</v>
      </c>
      <c r="L433" s="10">
        <v>0.3923611111111111</v>
      </c>
      <c r="M433" t="s">
        <v>907</v>
      </c>
      <c r="N433" t="s">
        <v>908</v>
      </c>
      <c r="O433" t="s">
        <v>22</v>
      </c>
    </row>
    <row r="434" spans="1:15" hidden="1">
      <c r="A434" t="s">
        <v>15</v>
      </c>
      <c r="B434" t="str">
        <f>"FES1162687900"</f>
        <v>FES1162687900</v>
      </c>
      <c r="C434" s="9">
        <v>43588</v>
      </c>
      <c r="D434">
        <v>1</v>
      </c>
      <c r="E434">
        <v>2170677444</v>
      </c>
      <c r="F434" t="s">
        <v>16</v>
      </c>
      <c r="G434" t="s">
        <v>17</v>
      </c>
      <c r="H434" t="s">
        <v>32</v>
      </c>
      <c r="I434" t="s">
        <v>33</v>
      </c>
      <c r="J434" t="s">
        <v>34</v>
      </c>
      <c r="K434" s="9">
        <v>43591</v>
      </c>
      <c r="L434" s="10">
        <v>0.34722222222222227</v>
      </c>
      <c r="M434" t="s">
        <v>35</v>
      </c>
      <c r="N434" t="s">
        <v>909</v>
      </c>
      <c r="O434" t="s">
        <v>22</v>
      </c>
    </row>
    <row r="435" spans="1:15" hidden="1">
      <c r="A435" t="s">
        <v>15</v>
      </c>
      <c r="B435" t="str">
        <f>"FES1162687974"</f>
        <v>FES1162687974</v>
      </c>
      <c r="C435" s="9">
        <v>43588</v>
      </c>
      <c r="D435">
        <v>1</v>
      </c>
      <c r="E435">
        <v>2170686212</v>
      </c>
      <c r="F435" t="s">
        <v>16</v>
      </c>
      <c r="G435" t="s">
        <v>17</v>
      </c>
      <c r="H435" t="s">
        <v>141</v>
      </c>
      <c r="I435" t="s">
        <v>433</v>
      </c>
      <c r="J435" t="s">
        <v>609</v>
      </c>
      <c r="K435" s="9">
        <v>43591</v>
      </c>
      <c r="L435" s="10">
        <v>0.3756944444444445</v>
      </c>
      <c r="M435" t="s">
        <v>910</v>
      </c>
      <c r="N435" t="s">
        <v>911</v>
      </c>
      <c r="O435" t="s">
        <v>22</v>
      </c>
    </row>
    <row r="436" spans="1:15">
      <c r="A436" s="6" t="s">
        <v>15</v>
      </c>
      <c r="B436" s="6" t="str">
        <f>"FES1162687942"</f>
        <v>FES1162687942</v>
      </c>
      <c r="C436" s="7">
        <v>43588</v>
      </c>
      <c r="D436" s="6">
        <v>1</v>
      </c>
      <c r="E436" s="6">
        <v>2170686056</v>
      </c>
      <c r="F436" s="6" t="s">
        <v>16</v>
      </c>
      <c r="G436" s="6" t="s">
        <v>17</v>
      </c>
      <c r="H436" s="6" t="s">
        <v>17</v>
      </c>
      <c r="I436" s="6" t="s">
        <v>29</v>
      </c>
      <c r="J436" s="6" t="s">
        <v>912</v>
      </c>
      <c r="K436" s="7">
        <v>43591</v>
      </c>
      <c r="L436" s="8">
        <v>0.33333333333333331</v>
      </c>
      <c r="M436" s="6" t="s">
        <v>913</v>
      </c>
      <c r="N436" s="6" t="s">
        <v>21</v>
      </c>
      <c r="O436" s="6" t="s">
        <v>22</v>
      </c>
    </row>
    <row r="437" spans="1:15">
      <c r="A437" s="6" t="s">
        <v>15</v>
      </c>
      <c r="B437" s="6" t="str">
        <f>"FES1162687993"</f>
        <v>FES1162687993</v>
      </c>
      <c r="C437" s="7">
        <v>43588</v>
      </c>
      <c r="D437" s="6">
        <v>1</v>
      </c>
      <c r="E437" s="6">
        <v>2170686810</v>
      </c>
      <c r="F437" s="6" t="s">
        <v>16</v>
      </c>
      <c r="G437" s="6" t="s">
        <v>17</v>
      </c>
      <c r="H437" s="6" t="s">
        <v>17</v>
      </c>
      <c r="I437" s="6" t="s">
        <v>29</v>
      </c>
      <c r="J437" s="6" t="s">
        <v>109</v>
      </c>
      <c r="K437" s="7">
        <v>43591</v>
      </c>
      <c r="L437" s="8">
        <v>0.33333333333333331</v>
      </c>
      <c r="M437" s="6" t="s">
        <v>913</v>
      </c>
      <c r="N437" s="6" t="s">
        <v>21</v>
      </c>
      <c r="O437" s="6" t="s">
        <v>22</v>
      </c>
    </row>
    <row r="438" spans="1:15">
      <c r="A438" s="6" t="s">
        <v>15</v>
      </c>
      <c r="B438" s="6" t="str">
        <f>"FES1162687988"</f>
        <v>FES1162687988</v>
      </c>
      <c r="C438" s="7">
        <v>43588</v>
      </c>
      <c r="D438" s="6">
        <v>1</v>
      </c>
      <c r="E438" s="6">
        <v>2170686808</v>
      </c>
      <c r="F438" s="6" t="s">
        <v>16</v>
      </c>
      <c r="G438" s="6" t="s">
        <v>17</v>
      </c>
      <c r="H438" s="6" t="s">
        <v>17</v>
      </c>
      <c r="I438" s="6" t="s">
        <v>23</v>
      </c>
      <c r="J438" s="6" t="s">
        <v>914</v>
      </c>
      <c r="K438" s="7">
        <v>43591</v>
      </c>
      <c r="L438" s="8">
        <v>0.3840277777777778</v>
      </c>
      <c r="M438" s="6" t="s">
        <v>915</v>
      </c>
      <c r="N438" s="6" t="s">
        <v>21</v>
      </c>
      <c r="O438" s="6" t="s">
        <v>22</v>
      </c>
    </row>
    <row r="439" spans="1:15" hidden="1">
      <c r="A439" t="s">
        <v>15</v>
      </c>
      <c r="B439" t="str">
        <f>"FES1162687811"</f>
        <v>FES1162687811</v>
      </c>
      <c r="C439" s="9">
        <v>43588</v>
      </c>
      <c r="D439">
        <v>1</v>
      </c>
      <c r="E439">
        <v>2170680220</v>
      </c>
      <c r="F439" t="s">
        <v>16</v>
      </c>
      <c r="G439" t="s">
        <v>17</v>
      </c>
      <c r="H439" t="s">
        <v>32</v>
      </c>
      <c r="I439" t="s">
        <v>33</v>
      </c>
      <c r="J439" t="s">
        <v>34</v>
      </c>
      <c r="K439" s="9">
        <v>43591</v>
      </c>
      <c r="L439" s="10">
        <v>0.34722222222222227</v>
      </c>
      <c r="M439" t="s">
        <v>35</v>
      </c>
      <c r="N439" t="s">
        <v>916</v>
      </c>
      <c r="O439" t="s">
        <v>22</v>
      </c>
    </row>
    <row r="440" spans="1:15" hidden="1">
      <c r="A440" t="s">
        <v>15</v>
      </c>
      <c r="B440" t="str">
        <f>"FES1162687954"</f>
        <v>FES1162687954</v>
      </c>
      <c r="C440" s="9">
        <v>43588</v>
      </c>
      <c r="D440">
        <v>1</v>
      </c>
      <c r="E440">
        <v>2170686757</v>
      </c>
      <c r="F440" t="s">
        <v>16</v>
      </c>
      <c r="G440" t="s">
        <v>17</v>
      </c>
      <c r="H440" t="s">
        <v>141</v>
      </c>
      <c r="I440" t="s">
        <v>142</v>
      </c>
      <c r="J440" t="s">
        <v>917</v>
      </c>
      <c r="K440" s="9">
        <v>43591</v>
      </c>
      <c r="L440" s="10">
        <v>0.39513888888888887</v>
      </c>
      <c r="M440" t="s">
        <v>918</v>
      </c>
      <c r="N440" t="s">
        <v>919</v>
      </c>
      <c r="O440" t="s">
        <v>22</v>
      </c>
    </row>
    <row r="441" spans="1:15" hidden="1">
      <c r="A441" t="s">
        <v>15</v>
      </c>
      <c r="B441" t="str">
        <f>"FES1162687827"</f>
        <v>FES1162687827</v>
      </c>
      <c r="C441" s="9">
        <v>43588</v>
      </c>
      <c r="D441">
        <v>2</v>
      </c>
      <c r="E441">
        <v>2170686694</v>
      </c>
      <c r="F441" t="s">
        <v>58</v>
      </c>
      <c r="G441" t="s">
        <v>59</v>
      </c>
      <c r="H441" t="s">
        <v>141</v>
      </c>
      <c r="I441" t="s">
        <v>142</v>
      </c>
      <c r="J441" t="s">
        <v>143</v>
      </c>
      <c r="K441" s="9">
        <v>43591</v>
      </c>
      <c r="L441" s="10">
        <v>0.58263888888888882</v>
      </c>
      <c r="M441" t="s">
        <v>920</v>
      </c>
      <c r="N441" t="s">
        <v>921</v>
      </c>
      <c r="O441" t="s">
        <v>22</v>
      </c>
    </row>
    <row r="442" spans="1:15" hidden="1">
      <c r="A442" t="s">
        <v>15</v>
      </c>
      <c r="B442" t="str">
        <f>"FES1162687514"</f>
        <v>FES1162687514</v>
      </c>
      <c r="C442" s="9">
        <v>43588</v>
      </c>
      <c r="D442">
        <v>1</v>
      </c>
      <c r="E442">
        <v>2170683427</v>
      </c>
      <c r="F442" t="s">
        <v>16</v>
      </c>
      <c r="G442" t="s">
        <v>17</v>
      </c>
      <c r="H442" t="s">
        <v>141</v>
      </c>
      <c r="I442" t="s">
        <v>142</v>
      </c>
      <c r="J442" t="s">
        <v>864</v>
      </c>
      <c r="K442" s="9">
        <v>43591</v>
      </c>
      <c r="L442" s="10">
        <v>0.36874999999999997</v>
      </c>
      <c r="M442" t="s">
        <v>922</v>
      </c>
      <c r="N442" t="s">
        <v>923</v>
      </c>
      <c r="O442" t="s">
        <v>22</v>
      </c>
    </row>
    <row r="443" spans="1:15" hidden="1">
      <c r="A443" t="s">
        <v>15</v>
      </c>
      <c r="B443" t="str">
        <f>"FES1162687886"</f>
        <v>FES1162687886</v>
      </c>
      <c r="C443" s="9">
        <v>43588</v>
      </c>
      <c r="D443">
        <v>1</v>
      </c>
      <c r="E443">
        <v>2170686750</v>
      </c>
      <c r="F443" t="s">
        <v>16</v>
      </c>
      <c r="G443" t="s">
        <v>17</v>
      </c>
      <c r="H443" t="s">
        <v>43</v>
      </c>
      <c r="I443" t="s">
        <v>44</v>
      </c>
      <c r="J443" t="s">
        <v>924</v>
      </c>
      <c r="K443" s="9">
        <v>43591</v>
      </c>
      <c r="L443" s="10">
        <v>0.41666666666666669</v>
      </c>
      <c r="M443" t="s">
        <v>925</v>
      </c>
      <c r="N443" t="s">
        <v>926</v>
      </c>
      <c r="O443" t="s">
        <v>22</v>
      </c>
    </row>
    <row r="444" spans="1:15" hidden="1">
      <c r="A444" t="s">
        <v>15</v>
      </c>
      <c r="B444" t="str">
        <f>"FES1162687959"</f>
        <v>FES1162687959</v>
      </c>
      <c r="C444" s="9">
        <v>43588</v>
      </c>
      <c r="D444">
        <v>1</v>
      </c>
      <c r="E444">
        <v>2170686777</v>
      </c>
      <c r="F444" t="s">
        <v>16</v>
      </c>
      <c r="G444" t="s">
        <v>17</v>
      </c>
      <c r="H444" t="s">
        <v>43</v>
      </c>
      <c r="I444" t="s">
        <v>44</v>
      </c>
      <c r="J444" t="s">
        <v>927</v>
      </c>
      <c r="K444" s="9">
        <v>43591</v>
      </c>
      <c r="L444" s="10">
        <v>0.34861111111111115</v>
      </c>
      <c r="M444" t="s">
        <v>928</v>
      </c>
      <c r="N444" t="s">
        <v>929</v>
      </c>
      <c r="O444" t="s">
        <v>22</v>
      </c>
    </row>
    <row r="445" spans="1:15" hidden="1">
      <c r="A445" t="s">
        <v>15</v>
      </c>
      <c r="B445" t="str">
        <f>"FES1162688010"</f>
        <v>FES1162688010</v>
      </c>
      <c r="C445" s="9">
        <v>43588</v>
      </c>
      <c r="D445">
        <v>1</v>
      </c>
      <c r="E445">
        <v>2170686833</v>
      </c>
      <c r="F445" t="s">
        <v>16</v>
      </c>
      <c r="G445" t="s">
        <v>17</v>
      </c>
      <c r="H445" t="s">
        <v>43</v>
      </c>
      <c r="I445" t="s">
        <v>44</v>
      </c>
      <c r="J445" t="s">
        <v>742</v>
      </c>
      <c r="K445" s="9">
        <v>43591</v>
      </c>
      <c r="L445" s="10">
        <v>0.41666666666666669</v>
      </c>
      <c r="M445" t="s">
        <v>743</v>
      </c>
      <c r="N445" t="s">
        <v>930</v>
      </c>
      <c r="O445" t="s">
        <v>22</v>
      </c>
    </row>
    <row r="446" spans="1:15" hidden="1">
      <c r="A446" t="s">
        <v>15</v>
      </c>
      <c r="B446" t="str">
        <f>"FES1162688082"</f>
        <v>FES1162688082</v>
      </c>
      <c r="C446" s="9">
        <v>43588</v>
      </c>
      <c r="D446">
        <v>1</v>
      </c>
      <c r="E446">
        <v>2170686518</v>
      </c>
      <c r="F446" t="s">
        <v>16</v>
      </c>
      <c r="G446" t="s">
        <v>17</v>
      </c>
      <c r="H446" t="s">
        <v>32</v>
      </c>
      <c r="I446" t="s">
        <v>269</v>
      </c>
      <c r="J446" t="s">
        <v>683</v>
      </c>
      <c r="K446" s="9">
        <v>43591</v>
      </c>
      <c r="L446" s="10">
        <v>0.36805555555555558</v>
      </c>
      <c r="M446" t="s">
        <v>931</v>
      </c>
      <c r="N446" t="s">
        <v>932</v>
      </c>
      <c r="O446" t="s">
        <v>22</v>
      </c>
    </row>
    <row r="447" spans="1:15">
      <c r="A447" s="6" t="s">
        <v>15</v>
      </c>
      <c r="B447" s="6" t="str">
        <f>"FES1162688057"</f>
        <v>FES1162688057</v>
      </c>
      <c r="C447" s="7">
        <v>43588</v>
      </c>
      <c r="D447" s="6">
        <v>1</v>
      </c>
      <c r="E447" s="6">
        <v>2170686902</v>
      </c>
      <c r="F447" s="6" t="s">
        <v>16</v>
      </c>
      <c r="G447" s="6" t="s">
        <v>17</v>
      </c>
      <c r="H447" s="6" t="s">
        <v>17</v>
      </c>
      <c r="I447" s="6" t="s">
        <v>23</v>
      </c>
      <c r="J447" s="6" t="s">
        <v>933</v>
      </c>
      <c r="K447" s="7">
        <v>43592</v>
      </c>
      <c r="L447" s="8">
        <v>0.3743055555555555</v>
      </c>
      <c r="M447" s="6" t="s">
        <v>934</v>
      </c>
      <c r="N447" s="6" t="s">
        <v>21</v>
      </c>
      <c r="O447" s="6" t="s">
        <v>22</v>
      </c>
    </row>
    <row r="448" spans="1:15">
      <c r="A448" s="6" t="s">
        <v>15</v>
      </c>
      <c r="B448" s="6" t="str">
        <f>"FES1162688056"</f>
        <v>FES1162688056</v>
      </c>
      <c r="C448" s="7">
        <v>43588</v>
      </c>
      <c r="D448" s="6">
        <v>1</v>
      </c>
      <c r="E448" s="6">
        <v>2170686901</v>
      </c>
      <c r="F448" s="6" t="s">
        <v>16</v>
      </c>
      <c r="G448" s="6" t="s">
        <v>17</v>
      </c>
      <c r="H448" s="6" t="s">
        <v>17</v>
      </c>
      <c r="I448" s="6" t="s">
        <v>935</v>
      </c>
      <c r="J448" s="6" t="s">
        <v>936</v>
      </c>
      <c r="K448" s="7">
        <v>43591</v>
      </c>
      <c r="L448" s="8">
        <v>0.33333333333333331</v>
      </c>
      <c r="M448" s="6" t="s">
        <v>937</v>
      </c>
      <c r="N448" s="6" t="s">
        <v>21</v>
      </c>
      <c r="O448" s="6" t="s">
        <v>22</v>
      </c>
    </row>
    <row r="449" spans="1:15" hidden="1">
      <c r="A449" t="s">
        <v>15</v>
      </c>
      <c r="B449" t="str">
        <f>"FES1162688065"</f>
        <v>FES1162688065</v>
      </c>
      <c r="C449" s="9">
        <v>43588</v>
      </c>
      <c r="D449">
        <v>1</v>
      </c>
      <c r="E449">
        <v>2170686912</v>
      </c>
      <c r="F449" t="s">
        <v>16</v>
      </c>
      <c r="G449" t="s">
        <v>17</v>
      </c>
      <c r="H449" t="s">
        <v>43</v>
      </c>
      <c r="I449" t="s">
        <v>44</v>
      </c>
      <c r="J449" t="s">
        <v>938</v>
      </c>
      <c r="K449" s="9">
        <v>43591</v>
      </c>
      <c r="L449" s="10">
        <v>0.32708333333333334</v>
      </c>
      <c r="M449" t="s">
        <v>939</v>
      </c>
      <c r="N449" t="s">
        <v>940</v>
      </c>
      <c r="O449" t="s">
        <v>22</v>
      </c>
    </row>
    <row r="450" spans="1:15" hidden="1">
      <c r="A450" t="s">
        <v>15</v>
      </c>
      <c r="B450" t="str">
        <f>"FES1162688053"</f>
        <v>FES1162688053</v>
      </c>
      <c r="C450" s="9">
        <v>43588</v>
      </c>
      <c r="D450">
        <v>1</v>
      </c>
      <c r="E450">
        <v>2170686895</v>
      </c>
      <c r="F450" t="s">
        <v>16</v>
      </c>
      <c r="G450" t="s">
        <v>17</v>
      </c>
      <c r="H450" t="s">
        <v>43</v>
      </c>
      <c r="I450" t="s">
        <v>44</v>
      </c>
      <c r="J450" t="s">
        <v>207</v>
      </c>
      <c r="K450" s="9">
        <v>43591</v>
      </c>
      <c r="L450" s="10">
        <v>0.41666666666666669</v>
      </c>
      <c r="M450" t="s">
        <v>208</v>
      </c>
      <c r="N450" t="s">
        <v>941</v>
      </c>
      <c r="O450" t="s">
        <v>22</v>
      </c>
    </row>
    <row r="451" spans="1:15" hidden="1">
      <c r="A451" t="s">
        <v>15</v>
      </c>
      <c r="B451" t="str">
        <f>"FES1162688094"</f>
        <v>FES1162688094</v>
      </c>
      <c r="C451" s="9">
        <v>43588</v>
      </c>
      <c r="D451">
        <v>1</v>
      </c>
      <c r="E451">
        <v>2170686918</v>
      </c>
      <c r="F451" t="s">
        <v>16</v>
      </c>
      <c r="G451" t="s">
        <v>17</v>
      </c>
      <c r="H451" t="s">
        <v>43</v>
      </c>
      <c r="I451" t="s">
        <v>738</v>
      </c>
      <c r="J451" t="s">
        <v>942</v>
      </c>
      <c r="K451" s="9">
        <v>43591</v>
      </c>
      <c r="L451" s="10">
        <v>0.41666666666666669</v>
      </c>
      <c r="M451" t="s">
        <v>943</v>
      </c>
      <c r="N451" t="s">
        <v>944</v>
      </c>
      <c r="O451" t="s">
        <v>22</v>
      </c>
    </row>
    <row r="452" spans="1:15" hidden="1">
      <c r="A452" t="s">
        <v>15</v>
      </c>
      <c r="B452" t="str">
        <f>"FES1162688096"</f>
        <v>FES1162688096</v>
      </c>
      <c r="C452" s="9">
        <v>43588</v>
      </c>
      <c r="D452">
        <v>1</v>
      </c>
      <c r="E452">
        <v>2170685718</v>
      </c>
      <c r="F452" t="s">
        <v>16</v>
      </c>
      <c r="G452" t="s">
        <v>17</v>
      </c>
      <c r="H452" t="s">
        <v>43</v>
      </c>
      <c r="I452" t="s">
        <v>44</v>
      </c>
      <c r="J452" t="s">
        <v>945</v>
      </c>
      <c r="K452" s="9">
        <v>43591</v>
      </c>
      <c r="L452" s="10">
        <v>0.41666666666666669</v>
      </c>
      <c r="M452" t="s">
        <v>946</v>
      </c>
      <c r="N452" t="s">
        <v>947</v>
      </c>
      <c r="O452" t="s">
        <v>22</v>
      </c>
    </row>
    <row r="453" spans="1:15">
      <c r="A453" s="6" t="s">
        <v>15</v>
      </c>
      <c r="B453" s="6" t="str">
        <f>"FES1162688078"</f>
        <v>FES1162688078</v>
      </c>
      <c r="C453" s="7">
        <v>43588</v>
      </c>
      <c r="D453" s="6">
        <v>1</v>
      </c>
      <c r="E453" s="6">
        <v>2170686920</v>
      </c>
      <c r="F453" s="6" t="s">
        <v>16</v>
      </c>
      <c r="G453" s="6" t="s">
        <v>17</v>
      </c>
      <c r="H453" s="6" t="s">
        <v>17</v>
      </c>
      <c r="I453" s="6" t="s">
        <v>18</v>
      </c>
      <c r="J453" s="6" t="s">
        <v>19</v>
      </c>
      <c r="K453" s="7">
        <v>43591</v>
      </c>
      <c r="L453" s="8">
        <v>0.39583333333333331</v>
      </c>
      <c r="M453" s="6" t="s">
        <v>167</v>
      </c>
      <c r="N453" s="6" t="s">
        <v>21</v>
      </c>
      <c r="O453" s="6" t="s">
        <v>22</v>
      </c>
    </row>
    <row r="454" spans="1:15" hidden="1">
      <c r="A454" t="s">
        <v>15</v>
      </c>
      <c r="B454" t="str">
        <f>"FES1162688079"</f>
        <v>FES1162688079</v>
      </c>
      <c r="C454" s="9">
        <v>43588</v>
      </c>
      <c r="D454">
        <v>1</v>
      </c>
      <c r="E454">
        <v>21706896921</v>
      </c>
      <c r="F454" t="s">
        <v>16</v>
      </c>
      <c r="G454" t="s">
        <v>17</v>
      </c>
      <c r="H454" t="s">
        <v>32</v>
      </c>
      <c r="I454" t="s">
        <v>33</v>
      </c>
      <c r="J454" t="s">
        <v>360</v>
      </c>
      <c r="K454" s="9">
        <v>43591</v>
      </c>
      <c r="L454" s="10">
        <v>0.37361111111111112</v>
      </c>
      <c r="M454" t="s">
        <v>793</v>
      </c>
      <c r="N454" t="s">
        <v>948</v>
      </c>
      <c r="O454" t="s">
        <v>22</v>
      </c>
    </row>
    <row r="455" spans="1:15" hidden="1">
      <c r="A455" t="s">
        <v>15</v>
      </c>
      <c r="B455" t="str">
        <f>"FES1162688055"</f>
        <v>FES1162688055</v>
      </c>
      <c r="C455" s="9">
        <v>43588</v>
      </c>
      <c r="D455">
        <v>1</v>
      </c>
      <c r="E455">
        <v>2170686900</v>
      </c>
      <c r="F455" t="s">
        <v>16</v>
      </c>
      <c r="G455" t="s">
        <v>17</v>
      </c>
      <c r="H455" t="s">
        <v>32</v>
      </c>
      <c r="I455" t="s">
        <v>342</v>
      </c>
      <c r="J455" t="s">
        <v>949</v>
      </c>
      <c r="K455" s="9">
        <v>43591</v>
      </c>
      <c r="L455" s="10">
        <v>0.34375</v>
      </c>
      <c r="M455" t="s">
        <v>950</v>
      </c>
      <c r="N455" t="s">
        <v>951</v>
      </c>
      <c r="O455" t="s">
        <v>22</v>
      </c>
    </row>
    <row r="456" spans="1:15" hidden="1">
      <c r="A456" t="s">
        <v>15</v>
      </c>
      <c r="B456" t="str">
        <f>"FES1162688088"</f>
        <v>FES1162688088</v>
      </c>
      <c r="C456" s="9">
        <v>43588</v>
      </c>
      <c r="D456">
        <v>1</v>
      </c>
      <c r="E456">
        <v>2170686931</v>
      </c>
      <c r="F456" t="s">
        <v>16</v>
      </c>
      <c r="G456" t="s">
        <v>17</v>
      </c>
      <c r="H456" t="s">
        <v>32</v>
      </c>
      <c r="I456" t="s">
        <v>33</v>
      </c>
      <c r="J456" t="s">
        <v>952</v>
      </c>
      <c r="K456" s="9">
        <v>43591</v>
      </c>
      <c r="L456" s="10">
        <v>0.33680555555555558</v>
      </c>
      <c r="M456" t="s">
        <v>953</v>
      </c>
      <c r="N456" t="s">
        <v>954</v>
      </c>
      <c r="O456" t="s">
        <v>22</v>
      </c>
    </row>
    <row r="457" spans="1:15" hidden="1">
      <c r="A457" t="s">
        <v>15</v>
      </c>
      <c r="B457" t="str">
        <f>"FES1162688030"</f>
        <v>FES1162688030</v>
      </c>
      <c r="C457" s="9">
        <v>43588</v>
      </c>
      <c r="D457">
        <v>1</v>
      </c>
      <c r="E457">
        <v>21706586869</v>
      </c>
      <c r="F457" t="s">
        <v>16</v>
      </c>
      <c r="G457" t="s">
        <v>17</v>
      </c>
      <c r="H457" t="s">
        <v>37</v>
      </c>
      <c r="I457" t="s">
        <v>955</v>
      </c>
      <c r="J457" t="s">
        <v>956</v>
      </c>
      <c r="K457" s="9">
        <v>43591</v>
      </c>
      <c r="L457" s="10">
        <v>0.43888888888888888</v>
      </c>
      <c r="M457" t="s">
        <v>957</v>
      </c>
      <c r="N457" t="s">
        <v>958</v>
      </c>
      <c r="O457" t="s">
        <v>22</v>
      </c>
    </row>
    <row r="458" spans="1:15" hidden="1">
      <c r="A458" t="s">
        <v>15</v>
      </c>
      <c r="B458" t="str">
        <f>"FES1162688038"</f>
        <v>FES1162688038</v>
      </c>
      <c r="C458" s="9">
        <v>43588</v>
      </c>
      <c r="D458">
        <v>1</v>
      </c>
      <c r="E458">
        <v>2170686882</v>
      </c>
      <c r="F458" t="s">
        <v>16</v>
      </c>
      <c r="G458" t="s">
        <v>17</v>
      </c>
      <c r="H458" t="s">
        <v>32</v>
      </c>
      <c r="I458" t="s">
        <v>33</v>
      </c>
      <c r="J458" t="s">
        <v>790</v>
      </c>
      <c r="K458" s="9">
        <v>43591</v>
      </c>
      <c r="L458" s="10">
        <v>0.38472222222222219</v>
      </c>
      <c r="M458" t="s">
        <v>791</v>
      </c>
      <c r="N458" t="s">
        <v>959</v>
      </c>
      <c r="O458" t="s">
        <v>22</v>
      </c>
    </row>
    <row r="459" spans="1:15" hidden="1">
      <c r="A459" t="s">
        <v>15</v>
      </c>
      <c r="B459" t="str">
        <f>"FES1162688066"</f>
        <v>FES1162688066</v>
      </c>
      <c r="C459" s="9">
        <v>43588</v>
      </c>
      <c r="D459">
        <v>1</v>
      </c>
      <c r="E459">
        <v>217068659165</v>
      </c>
      <c r="F459" t="s">
        <v>16</v>
      </c>
      <c r="G459" t="s">
        <v>17</v>
      </c>
      <c r="H459" t="s">
        <v>32</v>
      </c>
      <c r="I459" t="s">
        <v>33</v>
      </c>
      <c r="J459" t="s">
        <v>960</v>
      </c>
      <c r="K459" s="9">
        <v>43591</v>
      </c>
      <c r="L459" s="10">
        <v>0.33333333333333331</v>
      </c>
      <c r="M459" t="s">
        <v>961</v>
      </c>
      <c r="N459" t="s">
        <v>962</v>
      </c>
      <c r="O459" t="s">
        <v>22</v>
      </c>
    </row>
    <row r="460" spans="1:15">
      <c r="A460" s="6" t="s">
        <v>15</v>
      </c>
      <c r="B460" s="6" t="str">
        <f>"FES1162688092"</f>
        <v>FES1162688092</v>
      </c>
      <c r="C460" s="7">
        <v>43588</v>
      </c>
      <c r="D460" s="6">
        <v>1</v>
      </c>
      <c r="E460" s="6">
        <v>2170686813</v>
      </c>
      <c r="F460" s="6" t="s">
        <v>16</v>
      </c>
      <c r="G460" s="6" t="s">
        <v>17</v>
      </c>
      <c r="H460" s="6" t="s">
        <v>17</v>
      </c>
      <c r="I460" s="6" t="s">
        <v>29</v>
      </c>
      <c r="J460" s="6" t="s">
        <v>963</v>
      </c>
      <c r="K460" s="7">
        <v>43591</v>
      </c>
      <c r="L460" s="8">
        <v>0.35416666666666669</v>
      </c>
      <c r="M460" s="6" t="s">
        <v>714</v>
      </c>
      <c r="N460" s="6" t="s">
        <v>21</v>
      </c>
      <c r="O460" s="6" t="s">
        <v>22</v>
      </c>
    </row>
    <row r="461" spans="1:15">
      <c r="A461" s="6" t="s">
        <v>15</v>
      </c>
      <c r="B461" s="6" t="str">
        <f>"FES1162688077"</f>
        <v>FES1162688077</v>
      </c>
      <c r="C461" s="7">
        <v>43588</v>
      </c>
      <c r="D461" s="6">
        <v>1</v>
      </c>
      <c r="E461" s="6">
        <v>2170686919</v>
      </c>
      <c r="F461" s="6" t="s">
        <v>16</v>
      </c>
      <c r="G461" s="6" t="s">
        <v>17</v>
      </c>
      <c r="H461" s="6" t="s">
        <v>17</v>
      </c>
      <c r="I461" s="6" t="s">
        <v>81</v>
      </c>
      <c r="J461" s="6" t="s">
        <v>964</v>
      </c>
      <c r="K461" s="7">
        <v>43591</v>
      </c>
      <c r="L461" s="8">
        <v>0.33333333333333331</v>
      </c>
      <c r="M461" s="6" t="s">
        <v>965</v>
      </c>
      <c r="N461" s="6" t="s">
        <v>21</v>
      </c>
      <c r="O461" s="6" t="s">
        <v>22</v>
      </c>
    </row>
    <row r="462" spans="1:15">
      <c r="A462" s="6" t="s">
        <v>15</v>
      </c>
      <c r="B462" s="6" t="str">
        <f>"FES1162688099"</f>
        <v>FES1162688099</v>
      </c>
      <c r="C462" s="7">
        <v>43588</v>
      </c>
      <c r="D462" s="6">
        <v>1</v>
      </c>
      <c r="E462" s="6">
        <v>2170686939</v>
      </c>
      <c r="F462" s="6" t="s">
        <v>16</v>
      </c>
      <c r="G462" s="6" t="s">
        <v>17</v>
      </c>
      <c r="H462" s="6" t="s">
        <v>17</v>
      </c>
      <c r="I462" s="6" t="s">
        <v>23</v>
      </c>
      <c r="J462" s="6" t="s">
        <v>101</v>
      </c>
      <c r="K462" s="7">
        <v>43592</v>
      </c>
      <c r="L462" s="8">
        <v>0.45763888888888887</v>
      </c>
      <c r="M462" s="6" t="s">
        <v>102</v>
      </c>
      <c r="N462" s="6" t="s">
        <v>21</v>
      </c>
      <c r="O462" s="6" t="s">
        <v>22</v>
      </c>
    </row>
    <row r="463" spans="1:15" hidden="1">
      <c r="A463" t="s">
        <v>15</v>
      </c>
      <c r="B463" t="str">
        <f>"FES1162687949"</f>
        <v>FES1162687949</v>
      </c>
      <c r="C463" s="9">
        <v>43588</v>
      </c>
      <c r="D463">
        <v>1</v>
      </c>
      <c r="E463">
        <v>2170686394</v>
      </c>
      <c r="F463" t="s">
        <v>16</v>
      </c>
      <c r="G463" t="s">
        <v>17</v>
      </c>
      <c r="H463" t="s">
        <v>290</v>
      </c>
      <c r="I463" t="s">
        <v>291</v>
      </c>
      <c r="J463" t="s">
        <v>966</v>
      </c>
      <c r="K463" s="9">
        <v>43591</v>
      </c>
      <c r="L463" s="10">
        <v>0.4236111111111111</v>
      </c>
      <c r="M463" t="s">
        <v>967</v>
      </c>
      <c r="N463" t="s">
        <v>968</v>
      </c>
      <c r="O463" t="s">
        <v>22</v>
      </c>
    </row>
    <row r="464" spans="1:15">
      <c r="A464" s="6" t="s">
        <v>15</v>
      </c>
      <c r="B464" s="6" t="str">
        <f>"FES1162688075"</f>
        <v>FES1162688075</v>
      </c>
      <c r="C464" s="7">
        <v>43588</v>
      </c>
      <c r="D464" s="6">
        <v>1</v>
      </c>
      <c r="E464" s="6">
        <v>2170686916</v>
      </c>
      <c r="F464" s="6" t="s">
        <v>16</v>
      </c>
      <c r="G464" s="6" t="s">
        <v>17</v>
      </c>
      <c r="H464" s="6" t="s">
        <v>17</v>
      </c>
      <c r="I464" s="6" t="s">
        <v>103</v>
      </c>
      <c r="J464" s="6" t="s">
        <v>500</v>
      </c>
      <c r="K464" s="7">
        <v>43594</v>
      </c>
      <c r="L464" s="8">
        <v>0.39999999999999997</v>
      </c>
      <c r="M464" s="6" t="s">
        <v>969</v>
      </c>
      <c r="N464" s="6" t="s">
        <v>21</v>
      </c>
      <c r="O464" s="6" t="s">
        <v>22</v>
      </c>
    </row>
    <row r="465" spans="1:15" hidden="1">
      <c r="A465" t="s">
        <v>15</v>
      </c>
      <c r="B465" t="str">
        <f>"FES1162688076"</f>
        <v>FES1162688076</v>
      </c>
      <c r="C465" s="9">
        <v>43588</v>
      </c>
      <c r="D465">
        <v>1</v>
      </c>
      <c r="E465">
        <v>2170686179</v>
      </c>
      <c r="F465" t="s">
        <v>16</v>
      </c>
      <c r="G465" t="s">
        <v>17</v>
      </c>
      <c r="H465" t="s">
        <v>141</v>
      </c>
      <c r="I465" t="s">
        <v>142</v>
      </c>
      <c r="J465" t="s">
        <v>917</v>
      </c>
      <c r="K465" s="9">
        <v>43591</v>
      </c>
      <c r="L465" s="10">
        <v>0.39513888888888887</v>
      </c>
      <c r="M465" t="s">
        <v>918</v>
      </c>
      <c r="N465" t="s">
        <v>970</v>
      </c>
      <c r="O465" t="s">
        <v>22</v>
      </c>
    </row>
    <row r="466" spans="1:15" hidden="1">
      <c r="A466" t="s">
        <v>15</v>
      </c>
      <c r="B466" t="str">
        <f>"FES1162688095"</f>
        <v>FES1162688095</v>
      </c>
      <c r="C466" s="9">
        <v>43588</v>
      </c>
      <c r="D466">
        <v>1</v>
      </c>
      <c r="E466">
        <v>2170686938</v>
      </c>
      <c r="F466" t="s">
        <v>16</v>
      </c>
      <c r="G466" t="s">
        <v>17</v>
      </c>
      <c r="H466" t="s">
        <v>43</v>
      </c>
      <c r="I466" t="s">
        <v>971</v>
      </c>
      <c r="J466" t="s">
        <v>972</v>
      </c>
      <c r="K466" s="9">
        <v>43592</v>
      </c>
      <c r="L466" s="10">
        <v>8.3333333333333329E-2</v>
      </c>
      <c r="M466" t="s">
        <v>973</v>
      </c>
      <c r="N466" t="s">
        <v>974</v>
      </c>
      <c r="O466" t="s">
        <v>22</v>
      </c>
    </row>
    <row r="467" spans="1:15" hidden="1">
      <c r="A467" t="s">
        <v>15</v>
      </c>
      <c r="B467" t="str">
        <f>"FES1162688037"</f>
        <v>FES1162688037</v>
      </c>
      <c r="C467" s="9">
        <v>43588</v>
      </c>
      <c r="D467">
        <v>1</v>
      </c>
      <c r="E467">
        <v>2170686881</v>
      </c>
      <c r="F467" t="s">
        <v>16</v>
      </c>
      <c r="G467" t="s">
        <v>17</v>
      </c>
      <c r="H467" t="s">
        <v>425</v>
      </c>
      <c r="I467" t="s">
        <v>426</v>
      </c>
      <c r="J467" t="s">
        <v>783</v>
      </c>
      <c r="K467" s="9">
        <v>43591</v>
      </c>
      <c r="L467" s="10">
        <v>0.43194444444444446</v>
      </c>
      <c r="M467" t="s">
        <v>784</v>
      </c>
      <c r="N467" t="s">
        <v>975</v>
      </c>
      <c r="O467" t="s">
        <v>22</v>
      </c>
    </row>
    <row r="468" spans="1:15" hidden="1">
      <c r="A468" t="s">
        <v>15</v>
      </c>
      <c r="B468" t="str">
        <f>"FES1162688063"</f>
        <v>FES1162688063</v>
      </c>
      <c r="C468" s="9">
        <v>43588</v>
      </c>
      <c r="D468">
        <v>1</v>
      </c>
      <c r="E468">
        <v>217086908</v>
      </c>
      <c r="F468" t="s">
        <v>16</v>
      </c>
      <c r="G468" t="s">
        <v>17</v>
      </c>
      <c r="H468" t="s">
        <v>141</v>
      </c>
      <c r="I468" t="s">
        <v>142</v>
      </c>
      <c r="J468" t="s">
        <v>976</v>
      </c>
      <c r="K468" s="9">
        <v>43591</v>
      </c>
      <c r="L468" s="10">
        <v>0.41875000000000001</v>
      </c>
      <c r="M468" t="s">
        <v>977</v>
      </c>
      <c r="N468" t="s">
        <v>978</v>
      </c>
      <c r="O468" t="s">
        <v>22</v>
      </c>
    </row>
    <row r="469" spans="1:15" hidden="1">
      <c r="A469" t="s">
        <v>15</v>
      </c>
      <c r="B469" t="str">
        <f>"FES1162688048"</f>
        <v>FES1162688048</v>
      </c>
      <c r="C469" s="9">
        <v>43588</v>
      </c>
      <c r="D469">
        <v>1</v>
      </c>
      <c r="E469">
        <v>21706876888</v>
      </c>
      <c r="F469" t="s">
        <v>16</v>
      </c>
      <c r="G469" t="s">
        <v>17</v>
      </c>
      <c r="H469" t="s">
        <v>141</v>
      </c>
      <c r="I469" t="s">
        <v>448</v>
      </c>
      <c r="J469" t="s">
        <v>979</v>
      </c>
      <c r="K469" s="9">
        <v>43591</v>
      </c>
      <c r="L469" s="10">
        <v>0.34722222222222227</v>
      </c>
      <c r="M469" t="s">
        <v>980</v>
      </c>
      <c r="N469" t="s">
        <v>981</v>
      </c>
      <c r="O469" t="s">
        <v>22</v>
      </c>
    </row>
    <row r="470" spans="1:15" hidden="1">
      <c r="A470" t="s">
        <v>15</v>
      </c>
      <c r="B470" t="str">
        <f>"FES1162688091"</f>
        <v>FES1162688091</v>
      </c>
      <c r="C470" s="9">
        <v>43588</v>
      </c>
      <c r="D470">
        <v>1</v>
      </c>
      <c r="E470">
        <v>2170686809</v>
      </c>
      <c r="F470" t="s">
        <v>16</v>
      </c>
      <c r="G470" t="s">
        <v>17</v>
      </c>
      <c r="H470" t="s">
        <v>141</v>
      </c>
      <c r="I470" t="s">
        <v>448</v>
      </c>
      <c r="J470" t="s">
        <v>449</v>
      </c>
      <c r="K470" s="9">
        <v>43591</v>
      </c>
      <c r="L470" s="10">
        <v>0.34930555555555554</v>
      </c>
      <c r="M470" t="s">
        <v>982</v>
      </c>
      <c r="N470" t="s">
        <v>983</v>
      </c>
      <c r="O470" t="s">
        <v>22</v>
      </c>
    </row>
    <row r="471" spans="1:15" hidden="1">
      <c r="A471" t="s">
        <v>15</v>
      </c>
      <c r="B471" t="str">
        <f>"FES1162688052"</f>
        <v>FES1162688052</v>
      </c>
      <c r="C471" s="9">
        <v>43588</v>
      </c>
      <c r="D471">
        <v>1</v>
      </c>
      <c r="E471">
        <v>2170686892</v>
      </c>
      <c r="F471" t="s">
        <v>16</v>
      </c>
      <c r="G471" t="s">
        <v>17</v>
      </c>
      <c r="H471" t="s">
        <v>141</v>
      </c>
      <c r="I471" t="s">
        <v>448</v>
      </c>
      <c r="J471" t="s">
        <v>979</v>
      </c>
      <c r="K471" s="9">
        <v>43591</v>
      </c>
      <c r="L471" s="10">
        <v>0.34722222222222227</v>
      </c>
      <c r="M471" t="s">
        <v>980</v>
      </c>
      <c r="N471" t="s">
        <v>984</v>
      </c>
      <c r="O471" t="s">
        <v>22</v>
      </c>
    </row>
    <row r="472" spans="1:15" hidden="1">
      <c r="A472" t="s">
        <v>15</v>
      </c>
      <c r="B472" t="str">
        <f>"FES1162687853"</f>
        <v>FES1162687853</v>
      </c>
      <c r="C472" s="9">
        <v>43588</v>
      </c>
      <c r="D472">
        <v>1</v>
      </c>
      <c r="E472">
        <v>2170685360</v>
      </c>
      <c r="F472" t="s">
        <v>16</v>
      </c>
      <c r="G472" t="s">
        <v>17</v>
      </c>
      <c r="H472" t="s">
        <v>43</v>
      </c>
      <c r="I472" t="s">
        <v>44</v>
      </c>
      <c r="J472" t="s">
        <v>207</v>
      </c>
      <c r="K472" s="9">
        <v>43591</v>
      </c>
      <c r="L472" s="10">
        <v>0.41666666666666669</v>
      </c>
      <c r="M472" t="s">
        <v>208</v>
      </c>
      <c r="N472" t="s">
        <v>985</v>
      </c>
      <c r="O472" t="s">
        <v>22</v>
      </c>
    </row>
    <row r="473" spans="1:15" hidden="1">
      <c r="A473" t="s">
        <v>15</v>
      </c>
      <c r="B473" t="str">
        <f>"FES1162688080"</f>
        <v>FES1162688080</v>
      </c>
      <c r="C473" s="9">
        <v>43588</v>
      </c>
      <c r="D473">
        <v>1</v>
      </c>
      <c r="E473">
        <v>2170686924</v>
      </c>
      <c r="F473" t="s">
        <v>16</v>
      </c>
      <c r="G473" t="s">
        <v>17</v>
      </c>
      <c r="H473" t="s">
        <v>43</v>
      </c>
      <c r="I473" t="s">
        <v>44</v>
      </c>
      <c r="J473" t="s">
        <v>986</v>
      </c>
      <c r="K473" s="9">
        <v>43591</v>
      </c>
      <c r="L473" s="10">
        <v>0.42291666666666666</v>
      </c>
      <c r="M473" t="s">
        <v>784</v>
      </c>
      <c r="N473" t="s">
        <v>987</v>
      </c>
      <c r="O473" t="s">
        <v>22</v>
      </c>
    </row>
    <row r="474" spans="1:15" hidden="1">
      <c r="A474" t="s">
        <v>15</v>
      </c>
      <c r="B474" t="str">
        <f>"FES1162688084"</f>
        <v>FES1162688084</v>
      </c>
      <c r="C474" s="9">
        <v>43588</v>
      </c>
      <c r="D474">
        <v>1</v>
      </c>
      <c r="E474">
        <v>21706862928</v>
      </c>
      <c r="F474" t="s">
        <v>16</v>
      </c>
      <c r="G474" t="s">
        <v>17</v>
      </c>
      <c r="H474" t="s">
        <v>141</v>
      </c>
      <c r="I474" t="s">
        <v>142</v>
      </c>
      <c r="J474" t="s">
        <v>228</v>
      </c>
      <c r="K474" s="9">
        <v>43589</v>
      </c>
      <c r="L474" s="10">
        <v>0.4375</v>
      </c>
      <c r="M474" t="s">
        <v>481</v>
      </c>
      <c r="N474" t="s">
        <v>988</v>
      </c>
      <c r="O474" t="s">
        <v>22</v>
      </c>
    </row>
    <row r="475" spans="1:15" hidden="1">
      <c r="A475" t="s">
        <v>15</v>
      </c>
      <c r="B475" t="str">
        <f>"FES1162688058"</f>
        <v>FES1162688058</v>
      </c>
      <c r="C475" s="9">
        <v>43588</v>
      </c>
      <c r="D475">
        <v>1</v>
      </c>
      <c r="E475">
        <v>2170686903</v>
      </c>
      <c r="F475" t="s">
        <v>16</v>
      </c>
      <c r="G475" t="s">
        <v>17</v>
      </c>
      <c r="H475" t="s">
        <v>132</v>
      </c>
      <c r="I475" t="s">
        <v>133</v>
      </c>
      <c r="J475" t="s">
        <v>238</v>
      </c>
      <c r="K475" s="9">
        <v>43591</v>
      </c>
      <c r="L475" s="10">
        <v>0.33333333333333331</v>
      </c>
      <c r="M475" t="s">
        <v>989</v>
      </c>
      <c r="N475" t="s">
        <v>990</v>
      </c>
      <c r="O475" t="s">
        <v>22</v>
      </c>
    </row>
    <row r="476" spans="1:15" hidden="1">
      <c r="A476" t="s">
        <v>15</v>
      </c>
      <c r="B476" t="str">
        <f>"FES1162688060"</f>
        <v>FES1162688060</v>
      </c>
      <c r="C476" s="9">
        <v>43588</v>
      </c>
      <c r="D476">
        <v>1</v>
      </c>
      <c r="E476">
        <v>2170686906</v>
      </c>
      <c r="F476" t="s">
        <v>16</v>
      </c>
      <c r="G476" t="s">
        <v>17</v>
      </c>
      <c r="H476" t="s">
        <v>141</v>
      </c>
      <c r="I476" t="s">
        <v>142</v>
      </c>
      <c r="J476" t="s">
        <v>213</v>
      </c>
      <c r="K476" s="9">
        <v>43591</v>
      </c>
      <c r="L476" s="10">
        <v>0.36805555555555558</v>
      </c>
      <c r="M476" t="s">
        <v>214</v>
      </c>
      <c r="N476" t="s">
        <v>991</v>
      </c>
      <c r="O476" t="s">
        <v>22</v>
      </c>
    </row>
    <row r="477" spans="1:15" hidden="1">
      <c r="A477" t="s">
        <v>15</v>
      </c>
      <c r="B477" t="str">
        <f>"FES1162688028"</f>
        <v>FES1162688028</v>
      </c>
      <c r="C477" s="9">
        <v>43588</v>
      </c>
      <c r="D477">
        <v>1</v>
      </c>
      <c r="E477">
        <v>2170686864</v>
      </c>
      <c r="F477" t="s">
        <v>16</v>
      </c>
      <c r="G477" t="s">
        <v>17</v>
      </c>
      <c r="H477" t="s">
        <v>322</v>
      </c>
      <c r="I477" t="s">
        <v>618</v>
      </c>
      <c r="J477" t="s">
        <v>619</v>
      </c>
      <c r="K477" s="9">
        <v>43591</v>
      </c>
      <c r="L477" s="10">
        <v>0.41666666666666669</v>
      </c>
      <c r="M477" t="s">
        <v>620</v>
      </c>
      <c r="N477" t="s">
        <v>992</v>
      </c>
      <c r="O477" t="s">
        <v>22</v>
      </c>
    </row>
    <row r="478" spans="1:15" hidden="1">
      <c r="A478" t="s">
        <v>15</v>
      </c>
      <c r="B478" t="str">
        <f>"FES1162688081"</f>
        <v>FES1162688081</v>
      </c>
      <c r="C478" s="9">
        <v>43588</v>
      </c>
      <c r="D478">
        <v>1</v>
      </c>
      <c r="E478">
        <v>21706868926</v>
      </c>
      <c r="F478" t="s">
        <v>16</v>
      </c>
      <c r="G478" t="s">
        <v>17</v>
      </c>
      <c r="H478" t="s">
        <v>141</v>
      </c>
      <c r="I478" t="s">
        <v>142</v>
      </c>
      <c r="J478" t="s">
        <v>201</v>
      </c>
      <c r="K478" s="9">
        <v>43591</v>
      </c>
      <c r="L478" s="10">
        <v>0.3840277777777778</v>
      </c>
      <c r="M478" t="s">
        <v>993</v>
      </c>
      <c r="N478" t="s">
        <v>994</v>
      </c>
      <c r="O478" t="s">
        <v>22</v>
      </c>
    </row>
    <row r="479" spans="1:15" hidden="1">
      <c r="A479" t="s">
        <v>15</v>
      </c>
      <c r="B479" t="str">
        <f>"FES1162688016"</f>
        <v>FES1162688016</v>
      </c>
      <c r="C479" s="9">
        <v>43588</v>
      </c>
      <c r="D479">
        <v>1</v>
      </c>
      <c r="E479">
        <v>2170686864</v>
      </c>
      <c r="F479" t="s">
        <v>16</v>
      </c>
      <c r="G479" t="s">
        <v>17</v>
      </c>
      <c r="H479" t="s">
        <v>141</v>
      </c>
      <c r="I479" t="s">
        <v>142</v>
      </c>
      <c r="J479" t="s">
        <v>213</v>
      </c>
      <c r="K479" s="9">
        <v>43591</v>
      </c>
      <c r="L479" s="10">
        <v>0.36805555555555558</v>
      </c>
      <c r="M479" t="s">
        <v>214</v>
      </c>
      <c r="N479" t="s">
        <v>995</v>
      </c>
      <c r="O479" t="s">
        <v>22</v>
      </c>
    </row>
    <row r="480" spans="1:15" hidden="1">
      <c r="A480" t="s">
        <v>15</v>
      </c>
      <c r="B480" t="str">
        <f>"FES1162688023"</f>
        <v>FES1162688023</v>
      </c>
      <c r="C480" s="9">
        <v>43588</v>
      </c>
      <c r="D480">
        <v>1</v>
      </c>
      <c r="E480">
        <v>2170686856</v>
      </c>
      <c r="F480" t="s">
        <v>16</v>
      </c>
      <c r="G480" t="s">
        <v>17</v>
      </c>
      <c r="H480" t="s">
        <v>141</v>
      </c>
      <c r="I480" t="s">
        <v>142</v>
      </c>
      <c r="J480" t="s">
        <v>455</v>
      </c>
      <c r="K480" s="9">
        <v>43591</v>
      </c>
      <c r="L480" s="10">
        <v>0.37291666666666662</v>
      </c>
      <c r="M480" t="s">
        <v>996</v>
      </c>
      <c r="N480" t="s">
        <v>997</v>
      </c>
      <c r="O480" t="s">
        <v>22</v>
      </c>
    </row>
    <row r="481" spans="1:15" hidden="1">
      <c r="A481" t="s">
        <v>15</v>
      </c>
      <c r="B481" t="str">
        <f>"FES1162688059"</f>
        <v>FES1162688059</v>
      </c>
      <c r="C481" s="9">
        <v>43588</v>
      </c>
      <c r="D481">
        <v>1</v>
      </c>
      <c r="E481">
        <v>2170686924</v>
      </c>
      <c r="F481" t="s">
        <v>16</v>
      </c>
      <c r="G481" t="s">
        <v>17</v>
      </c>
      <c r="H481" t="s">
        <v>141</v>
      </c>
      <c r="I481" t="s">
        <v>464</v>
      </c>
      <c r="J481" t="s">
        <v>857</v>
      </c>
      <c r="K481" s="9">
        <v>43591</v>
      </c>
      <c r="L481" s="10">
        <v>0.36458333333333331</v>
      </c>
      <c r="M481" t="s">
        <v>858</v>
      </c>
      <c r="N481" t="s">
        <v>998</v>
      </c>
      <c r="O481" t="s">
        <v>22</v>
      </c>
    </row>
    <row r="482" spans="1:15" hidden="1">
      <c r="A482" t="s">
        <v>15</v>
      </c>
      <c r="B482" t="str">
        <f>"FES1162688093"</f>
        <v>FES1162688093</v>
      </c>
      <c r="C482" s="9">
        <v>43588</v>
      </c>
      <c r="D482">
        <v>1</v>
      </c>
      <c r="E482">
        <v>2170686911</v>
      </c>
      <c r="F482" t="s">
        <v>16</v>
      </c>
      <c r="G482" t="s">
        <v>17</v>
      </c>
      <c r="H482" t="s">
        <v>43</v>
      </c>
      <c r="I482" t="s">
        <v>738</v>
      </c>
      <c r="J482" t="s">
        <v>942</v>
      </c>
      <c r="K482" s="9">
        <v>43591</v>
      </c>
      <c r="L482" s="10">
        <v>0.41666666666666669</v>
      </c>
      <c r="M482" t="s">
        <v>943</v>
      </c>
      <c r="N482" t="s">
        <v>999</v>
      </c>
      <c r="O482" t="s">
        <v>22</v>
      </c>
    </row>
    <row r="483" spans="1:15" hidden="1">
      <c r="A483" t="s">
        <v>15</v>
      </c>
      <c r="B483" t="str">
        <f>"FES1162688087"</f>
        <v>FES1162688087</v>
      </c>
      <c r="C483" s="9">
        <v>43588</v>
      </c>
      <c r="D483">
        <v>1</v>
      </c>
      <c r="E483">
        <v>2170686930</v>
      </c>
      <c r="F483" t="s">
        <v>16</v>
      </c>
      <c r="G483" t="s">
        <v>17</v>
      </c>
      <c r="H483" t="s">
        <v>43</v>
      </c>
      <c r="I483" t="s">
        <v>54</v>
      </c>
      <c r="J483" t="s">
        <v>55</v>
      </c>
      <c r="K483" s="9">
        <v>43591</v>
      </c>
      <c r="L483" s="10">
        <v>0.41666666666666669</v>
      </c>
      <c r="M483" t="s">
        <v>729</v>
      </c>
      <c r="N483" t="s">
        <v>1000</v>
      </c>
      <c r="O483" t="s">
        <v>22</v>
      </c>
    </row>
    <row r="484" spans="1:15" hidden="1">
      <c r="A484" t="s">
        <v>15</v>
      </c>
      <c r="B484" t="str">
        <f>"FES1162687751"</f>
        <v>FES1162687751</v>
      </c>
      <c r="C484" s="9">
        <v>43588</v>
      </c>
      <c r="D484">
        <v>1</v>
      </c>
      <c r="E484">
        <v>2170686602</v>
      </c>
      <c r="F484" t="s">
        <v>16</v>
      </c>
      <c r="G484" t="s">
        <v>17</v>
      </c>
      <c r="H484" t="s">
        <v>43</v>
      </c>
      <c r="I484" t="s">
        <v>44</v>
      </c>
      <c r="J484" t="s">
        <v>1001</v>
      </c>
      <c r="K484" s="9">
        <v>43591</v>
      </c>
      <c r="L484" s="10">
        <v>0.3756944444444445</v>
      </c>
      <c r="M484" t="s">
        <v>1002</v>
      </c>
      <c r="N484" t="s">
        <v>1003</v>
      </c>
      <c r="O484" t="s">
        <v>22</v>
      </c>
    </row>
    <row r="485" spans="1:15">
      <c r="A485" s="6" t="s">
        <v>15</v>
      </c>
      <c r="B485" s="6" t="str">
        <f>"FES1162688036"</f>
        <v>FES1162688036</v>
      </c>
      <c r="C485" s="7">
        <v>43588</v>
      </c>
      <c r="D485" s="6">
        <v>1</v>
      </c>
      <c r="E485" s="6">
        <v>2170686880</v>
      </c>
      <c r="F485" s="6" t="s">
        <v>16</v>
      </c>
      <c r="G485" s="6" t="s">
        <v>17</v>
      </c>
      <c r="H485" s="6" t="s">
        <v>17</v>
      </c>
      <c r="I485" s="6" t="s">
        <v>18</v>
      </c>
      <c r="J485" s="6" t="s">
        <v>19</v>
      </c>
      <c r="K485" s="7">
        <v>43591</v>
      </c>
      <c r="L485" s="8">
        <v>0.39583333333333331</v>
      </c>
      <c r="M485" s="6" t="s">
        <v>20</v>
      </c>
      <c r="N485" s="6" t="s">
        <v>21</v>
      </c>
      <c r="O485" s="6" t="s">
        <v>22</v>
      </c>
    </row>
    <row r="486" spans="1:15" hidden="1">
      <c r="A486" t="s">
        <v>15</v>
      </c>
      <c r="B486" t="str">
        <f>"FES1162688113"</f>
        <v>FES1162688113</v>
      </c>
      <c r="C486" s="9">
        <v>43588</v>
      </c>
      <c r="D486">
        <v>1</v>
      </c>
      <c r="E486">
        <v>2170686866</v>
      </c>
      <c r="F486" t="s">
        <v>16</v>
      </c>
      <c r="G486" t="s">
        <v>17</v>
      </c>
      <c r="H486" t="s">
        <v>290</v>
      </c>
      <c r="I486" t="s">
        <v>291</v>
      </c>
      <c r="J486" t="s">
        <v>1004</v>
      </c>
      <c r="K486" s="9">
        <v>43591</v>
      </c>
      <c r="L486" s="10">
        <v>0.44097222222222227</v>
      </c>
      <c r="M486" t="s">
        <v>1005</v>
      </c>
      <c r="N486" t="s">
        <v>1006</v>
      </c>
      <c r="O486" t="s">
        <v>22</v>
      </c>
    </row>
    <row r="487" spans="1:15" hidden="1">
      <c r="A487" t="s">
        <v>15</v>
      </c>
      <c r="B487" t="str">
        <f>"FES1162687911"</f>
        <v>FES1162687911</v>
      </c>
      <c r="C487" s="9">
        <v>43588</v>
      </c>
      <c r="D487">
        <v>1</v>
      </c>
      <c r="E487">
        <v>2170684201</v>
      </c>
      <c r="F487" t="s">
        <v>16</v>
      </c>
      <c r="G487" t="s">
        <v>17</v>
      </c>
      <c r="H487" t="s">
        <v>290</v>
      </c>
      <c r="I487" t="s">
        <v>309</v>
      </c>
      <c r="J487" t="s">
        <v>310</v>
      </c>
      <c r="K487" s="9">
        <v>43591</v>
      </c>
      <c r="L487" s="10">
        <v>0.41805555555555557</v>
      </c>
      <c r="M487" t="s">
        <v>311</v>
      </c>
      <c r="N487" t="s">
        <v>1007</v>
      </c>
      <c r="O487" t="s">
        <v>22</v>
      </c>
    </row>
    <row r="488" spans="1:15" hidden="1">
      <c r="A488" t="s">
        <v>15</v>
      </c>
      <c r="B488" t="str">
        <f>"FES1162688070"</f>
        <v>FES1162688070</v>
      </c>
      <c r="C488" s="9">
        <v>43588</v>
      </c>
      <c r="D488">
        <v>1</v>
      </c>
      <c r="E488">
        <v>21706876632</v>
      </c>
      <c r="F488" t="s">
        <v>16</v>
      </c>
      <c r="G488" t="s">
        <v>17</v>
      </c>
      <c r="H488" t="s">
        <v>132</v>
      </c>
      <c r="I488" t="s">
        <v>133</v>
      </c>
      <c r="J488" t="s">
        <v>1008</v>
      </c>
      <c r="K488" s="9">
        <v>43591</v>
      </c>
      <c r="L488" s="10">
        <v>0.3888888888888889</v>
      </c>
      <c r="M488" t="s">
        <v>1009</v>
      </c>
      <c r="N488" t="s">
        <v>1010</v>
      </c>
      <c r="O488" t="s">
        <v>22</v>
      </c>
    </row>
    <row r="489" spans="1:15" hidden="1">
      <c r="A489" t="s">
        <v>15</v>
      </c>
      <c r="B489" t="str">
        <f>"FES1162688064"</f>
        <v>FES1162688064</v>
      </c>
      <c r="C489" s="9">
        <v>43588</v>
      </c>
      <c r="D489">
        <v>1</v>
      </c>
      <c r="E489">
        <v>2170686910</v>
      </c>
      <c r="F489" t="s">
        <v>16</v>
      </c>
      <c r="G489" t="s">
        <v>17</v>
      </c>
      <c r="H489" t="s">
        <v>141</v>
      </c>
      <c r="I489" t="s">
        <v>185</v>
      </c>
      <c r="J489" t="s">
        <v>1011</v>
      </c>
      <c r="K489" s="9">
        <v>43591</v>
      </c>
      <c r="L489" s="10">
        <v>0.38472222222222219</v>
      </c>
      <c r="M489" t="s">
        <v>1012</v>
      </c>
      <c r="N489" t="s">
        <v>1013</v>
      </c>
      <c r="O489" t="s">
        <v>22</v>
      </c>
    </row>
    <row r="490" spans="1:15" hidden="1">
      <c r="A490" t="s">
        <v>15</v>
      </c>
      <c r="B490" t="str">
        <f>"FES1162688022"</f>
        <v>FES1162688022</v>
      </c>
      <c r="C490" s="9">
        <v>43588</v>
      </c>
      <c r="D490">
        <v>1</v>
      </c>
      <c r="E490">
        <v>2170686854</v>
      </c>
      <c r="F490" t="s">
        <v>16</v>
      </c>
      <c r="G490" t="s">
        <v>17</v>
      </c>
      <c r="H490" t="s">
        <v>322</v>
      </c>
      <c r="I490" t="s">
        <v>618</v>
      </c>
      <c r="J490" t="s">
        <v>619</v>
      </c>
      <c r="K490" s="9">
        <v>43591</v>
      </c>
      <c r="L490" s="10">
        <v>0.41666666666666669</v>
      </c>
      <c r="M490" t="s">
        <v>620</v>
      </c>
      <c r="N490" t="s">
        <v>1014</v>
      </c>
      <c r="O490" t="s">
        <v>22</v>
      </c>
    </row>
    <row r="491" spans="1:15" hidden="1">
      <c r="A491" t="s">
        <v>15</v>
      </c>
      <c r="B491" t="str">
        <f>"FES1162688054"</f>
        <v>FES1162688054</v>
      </c>
      <c r="C491" s="9">
        <v>43588</v>
      </c>
      <c r="D491">
        <v>1</v>
      </c>
      <c r="E491">
        <v>2170686898</v>
      </c>
      <c r="F491" t="s">
        <v>16</v>
      </c>
      <c r="G491" t="s">
        <v>17</v>
      </c>
      <c r="H491" t="s">
        <v>43</v>
      </c>
      <c r="I491" t="s">
        <v>44</v>
      </c>
      <c r="J491" t="s">
        <v>748</v>
      </c>
      <c r="K491" s="9">
        <v>43591</v>
      </c>
      <c r="L491" s="10">
        <v>0.41666666666666669</v>
      </c>
      <c r="M491" t="s">
        <v>749</v>
      </c>
      <c r="N491" t="s">
        <v>1015</v>
      </c>
      <c r="O491" t="s">
        <v>22</v>
      </c>
    </row>
    <row r="492" spans="1:15">
      <c r="A492" s="6" t="s">
        <v>15</v>
      </c>
      <c r="B492" s="6" t="str">
        <f>"FES1162688007"</f>
        <v>FES1162688007</v>
      </c>
      <c r="C492" s="7">
        <v>43588</v>
      </c>
      <c r="D492" s="6">
        <v>1</v>
      </c>
      <c r="E492" s="6">
        <v>2170685950</v>
      </c>
      <c r="F492" s="6" t="s">
        <v>16</v>
      </c>
      <c r="G492" s="6" t="s">
        <v>17</v>
      </c>
      <c r="H492" s="6" t="s">
        <v>17</v>
      </c>
      <c r="I492" s="6" t="s">
        <v>64</v>
      </c>
      <c r="J492" s="6" t="s">
        <v>288</v>
      </c>
      <c r="K492" s="7">
        <v>43591</v>
      </c>
      <c r="L492" s="8">
        <v>0.40277777777777773</v>
      </c>
      <c r="M492" s="6" t="s">
        <v>289</v>
      </c>
      <c r="N492" s="6" t="s">
        <v>21</v>
      </c>
      <c r="O492" s="6" t="s">
        <v>22</v>
      </c>
    </row>
    <row r="493" spans="1:15">
      <c r="A493" s="6" t="s">
        <v>15</v>
      </c>
      <c r="B493" s="6" t="str">
        <f>"FES1162688110"</f>
        <v>FES1162688110</v>
      </c>
      <c r="C493" s="7">
        <v>43588</v>
      </c>
      <c r="D493" s="6">
        <v>1</v>
      </c>
      <c r="E493" s="6">
        <v>2170686955</v>
      </c>
      <c r="F493" s="6" t="s">
        <v>16</v>
      </c>
      <c r="G493" s="6" t="s">
        <v>17</v>
      </c>
      <c r="H493" s="6" t="s">
        <v>17</v>
      </c>
      <c r="I493" s="6" t="s">
        <v>23</v>
      </c>
      <c r="J493" s="6" t="s">
        <v>483</v>
      </c>
      <c r="K493" s="7">
        <v>43591</v>
      </c>
      <c r="L493" s="8">
        <v>0.33611111111111108</v>
      </c>
      <c r="M493" s="6" t="s">
        <v>1016</v>
      </c>
      <c r="N493" s="6" t="s">
        <v>21</v>
      </c>
      <c r="O493" s="6" t="s">
        <v>22</v>
      </c>
    </row>
    <row r="494" spans="1:15" hidden="1">
      <c r="A494" t="s">
        <v>15</v>
      </c>
      <c r="B494" t="str">
        <f>"FES1162688111"</f>
        <v>FES1162688111</v>
      </c>
      <c r="C494" s="9">
        <v>43588</v>
      </c>
      <c r="D494">
        <v>1</v>
      </c>
      <c r="E494">
        <v>2170686959</v>
      </c>
      <c r="F494" t="s">
        <v>16</v>
      </c>
      <c r="G494" t="s">
        <v>17</v>
      </c>
      <c r="H494" t="s">
        <v>290</v>
      </c>
      <c r="I494" t="s">
        <v>291</v>
      </c>
      <c r="J494" t="s">
        <v>297</v>
      </c>
      <c r="K494" s="9">
        <v>43591</v>
      </c>
      <c r="L494" s="10">
        <v>0.36736111111111108</v>
      </c>
      <c r="M494" t="s">
        <v>298</v>
      </c>
      <c r="N494" t="s">
        <v>1017</v>
      </c>
      <c r="O494" t="s">
        <v>22</v>
      </c>
    </row>
    <row r="495" spans="1:15" hidden="1">
      <c r="A495" t="s">
        <v>15</v>
      </c>
      <c r="B495" t="str">
        <f>"FES1162688098"</f>
        <v>FES1162688098</v>
      </c>
      <c r="C495" s="9">
        <v>43588</v>
      </c>
      <c r="D495">
        <v>1</v>
      </c>
      <c r="E495">
        <v>2170686874</v>
      </c>
      <c r="F495" t="s">
        <v>16</v>
      </c>
      <c r="G495" t="s">
        <v>17</v>
      </c>
      <c r="H495" t="s">
        <v>290</v>
      </c>
      <c r="I495" t="s">
        <v>291</v>
      </c>
      <c r="J495" t="s">
        <v>1018</v>
      </c>
      <c r="K495" s="9">
        <v>43591</v>
      </c>
      <c r="L495" s="10">
        <v>0.42708333333333331</v>
      </c>
      <c r="M495" t="s">
        <v>1019</v>
      </c>
      <c r="N495" t="s">
        <v>1020</v>
      </c>
      <c r="O495" t="s">
        <v>22</v>
      </c>
    </row>
    <row r="496" spans="1:15">
      <c r="A496" s="6" t="s">
        <v>15</v>
      </c>
      <c r="B496" s="6" t="str">
        <f>"FES1162688104"</f>
        <v>FES1162688104</v>
      </c>
      <c r="C496" s="7">
        <v>43588</v>
      </c>
      <c r="D496" s="6">
        <v>1</v>
      </c>
      <c r="E496" s="6">
        <v>2170686945</v>
      </c>
      <c r="F496" s="6" t="s">
        <v>16</v>
      </c>
      <c r="G496" s="6" t="s">
        <v>17</v>
      </c>
      <c r="H496" s="6" t="s">
        <v>17</v>
      </c>
      <c r="I496" s="6" t="s">
        <v>23</v>
      </c>
      <c r="J496" s="6" t="s">
        <v>24</v>
      </c>
      <c r="K496" s="7">
        <v>43592</v>
      </c>
      <c r="L496" s="8">
        <v>0.59375</v>
      </c>
      <c r="M496" s="6" t="s">
        <v>1021</v>
      </c>
      <c r="N496" s="6" t="s">
        <v>21</v>
      </c>
      <c r="O496" s="6" t="s">
        <v>22</v>
      </c>
    </row>
    <row r="497" spans="1:15" hidden="1">
      <c r="A497" t="s">
        <v>15</v>
      </c>
      <c r="B497" t="str">
        <f>"FES1162688089"</f>
        <v>FES1162688089</v>
      </c>
      <c r="C497" s="9">
        <v>43588</v>
      </c>
      <c r="D497">
        <v>1</v>
      </c>
      <c r="E497">
        <v>2170686935</v>
      </c>
      <c r="F497" t="s">
        <v>16</v>
      </c>
      <c r="G497" t="s">
        <v>17</v>
      </c>
      <c r="H497" t="s">
        <v>43</v>
      </c>
      <c r="I497" t="s">
        <v>44</v>
      </c>
      <c r="J497" t="s">
        <v>1022</v>
      </c>
      <c r="K497" s="9">
        <v>43591</v>
      </c>
      <c r="L497" s="10">
        <v>0.31527777777777777</v>
      </c>
      <c r="M497" t="s">
        <v>1023</v>
      </c>
      <c r="N497" t="s">
        <v>1024</v>
      </c>
      <c r="O497" t="s">
        <v>22</v>
      </c>
    </row>
    <row r="498" spans="1:15">
      <c r="A498" s="6" t="s">
        <v>15</v>
      </c>
      <c r="B498" s="6" t="str">
        <f>"FES1162688039"</f>
        <v>FES1162688039</v>
      </c>
      <c r="C498" s="7">
        <v>43588</v>
      </c>
      <c r="D498" s="6">
        <v>1</v>
      </c>
      <c r="E498" s="6">
        <v>2170686884</v>
      </c>
      <c r="F498" s="6" t="s">
        <v>16</v>
      </c>
      <c r="G498" s="6" t="s">
        <v>17</v>
      </c>
      <c r="H498" s="6" t="s">
        <v>17</v>
      </c>
      <c r="I498" s="6" t="s">
        <v>18</v>
      </c>
      <c r="J498" s="6" t="s">
        <v>1025</v>
      </c>
      <c r="K498" s="7">
        <v>43591</v>
      </c>
      <c r="L498" s="8">
        <v>0.42986111111111108</v>
      </c>
      <c r="M498" s="6" t="s">
        <v>1026</v>
      </c>
      <c r="N498" s="6" t="s">
        <v>21</v>
      </c>
      <c r="O498" s="6" t="s">
        <v>22</v>
      </c>
    </row>
    <row r="499" spans="1:15">
      <c r="A499" s="6" t="s">
        <v>15</v>
      </c>
      <c r="B499" s="6" t="str">
        <f>"FES1162687909"</f>
        <v>FES1162687909</v>
      </c>
      <c r="C499" s="7">
        <v>43588</v>
      </c>
      <c r="D499" s="6">
        <v>1</v>
      </c>
      <c r="E499" s="6">
        <v>2170684194</v>
      </c>
      <c r="F499" s="6" t="s">
        <v>16</v>
      </c>
      <c r="G499" s="6" t="s">
        <v>17</v>
      </c>
      <c r="H499" s="6" t="s">
        <v>17</v>
      </c>
      <c r="I499" s="6" t="s">
        <v>18</v>
      </c>
      <c r="J499" s="6" t="s">
        <v>89</v>
      </c>
      <c r="K499" s="7">
        <v>43591</v>
      </c>
      <c r="L499" s="8">
        <v>0.35347222222222219</v>
      </c>
      <c r="M499" s="6" t="s">
        <v>120</v>
      </c>
      <c r="N499" s="6" t="s">
        <v>21</v>
      </c>
      <c r="O499" s="6" t="s">
        <v>22</v>
      </c>
    </row>
    <row r="500" spans="1:15" hidden="1">
      <c r="A500" t="s">
        <v>15</v>
      </c>
      <c r="B500" t="str">
        <f>"FES1162688046"</f>
        <v>FES1162688046</v>
      </c>
      <c r="C500" s="9">
        <v>43588</v>
      </c>
      <c r="D500">
        <v>1</v>
      </c>
      <c r="E500">
        <v>2170686471</v>
      </c>
      <c r="F500" t="s">
        <v>16</v>
      </c>
      <c r="G500" t="s">
        <v>17</v>
      </c>
      <c r="H500" t="s">
        <v>290</v>
      </c>
      <c r="I500" t="s">
        <v>291</v>
      </c>
      <c r="J500" t="s">
        <v>1027</v>
      </c>
      <c r="K500" s="9">
        <v>43591</v>
      </c>
      <c r="L500" s="10">
        <v>0.43611111111111112</v>
      </c>
      <c r="M500" t="s">
        <v>1028</v>
      </c>
      <c r="N500" t="s">
        <v>1029</v>
      </c>
      <c r="O500" t="s">
        <v>22</v>
      </c>
    </row>
    <row r="501" spans="1:15" hidden="1">
      <c r="A501" t="s">
        <v>15</v>
      </c>
      <c r="B501" t="str">
        <f>"FES1162688102"</f>
        <v>FES1162688102</v>
      </c>
      <c r="C501" s="9">
        <v>43588</v>
      </c>
      <c r="D501">
        <v>1</v>
      </c>
      <c r="E501">
        <v>217068642</v>
      </c>
      <c r="F501" t="s">
        <v>16</v>
      </c>
      <c r="G501" t="s">
        <v>17</v>
      </c>
      <c r="H501" t="s">
        <v>290</v>
      </c>
      <c r="I501" t="s">
        <v>291</v>
      </c>
      <c r="J501" t="s">
        <v>1030</v>
      </c>
      <c r="K501" s="9">
        <v>43592</v>
      </c>
      <c r="L501" s="10">
        <v>0.66666666666666663</v>
      </c>
      <c r="M501" t="s">
        <v>1031</v>
      </c>
      <c r="N501" t="s">
        <v>1032</v>
      </c>
      <c r="O501" t="s">
        <v>22</v>
      </c>
    </row>
    <row r="502" spans="1:15">
      <c r="A502" s="6" t="s">
        <v>15</v>
      </c>
      <c r="B502" s="6" t="str">
        <f>"FES1162687967"</f>
        <v>FES1162687967</v>
      </c>
      <c r="C502" s="7">
        <v>43588</v>
      </c>
      <c r="D502" s="6">
        <v>1</v>
      </c>
      <c r="E502" s="6">
        <v>2170686789</v>
      </c>
      <c r="F502" s="6" t="s">
        <v>16</v>
      </c>
      <c r="G502" s="6" t="s">
        <v>17</v>
      </c>
      <c r="H502" s="6" t="s">
        <v>17</v>
      </c>
      <c r="I502" s="6" t="s">
        <v>18</v>
      </c>
      <c r="J502" s="6" t="s">
        <v>1033</v>
      </c>
      <c r="K502" s="7">
        <v>43591</v>
      </c>
      <c r="L502" s="8">
        <v>0.42291666666666666</v>
      </c>
      <c r="M502" s="6" t="s">
        <v>1034</v>
      </c>
      <c r="N502" s="6" t="s">
        <v>21</v>
      </c>
      <c r="O502" s="6" t="s">
        <v>22</v>
      </c>
    </row>
    <row r="503" spans="1:15">
      <c r="A503" s="6" t="s">
        <v>15</v>
      </c>
      <c r="B503" s="6" t="str">
        <f>"FES1162688017"</f>
        <v>FES1162688017</v>
      </c>
      <c r="C503" s="7">
        <v>43588</v>
      </c>
      <c r="D503" s="6">
        <v>1</v>
      </c>
      <c r="E503" s="6">
        <v>2170686847</v>
      </c>
      <c r="F503" s="6" t="s">
        <v>16</v>
      </c>
      <c r="G503" s="6" t="s">
        <v>17</v>
      </c>
      <c r="H503" s="6" t="s">
        <v>17</v>
      </c>
      <c r="I503" s="6" t="s">
        <v>26</v>
      </c>
      <c r="J503" s="6" t="s">
        <v>1035</v>
      </c>
      <c r="K503" s="7">
        <v>43591</v>
      </c>
      <c r="L503" s="8">
        <v>0.53263888888888888</v>
      </c>
      <c r="M503" s="6" t="s">
        <v>1036</v>
      </c>
      <c r="N503" s="6" t="s">
        <v>21</v>
      </c>
      <c r="O503" s="6" t="s">
        <v>22</v>
      </c>
    </row>
    <row r="504" spans="1:15">
      <c r="A504" s="6" t="s">
        <v>15</v>
      </c>
      <c r="B504" s="6" t="str">
        <f>"FES1162688041"</f>
        <v>FES1162688041</v>
      </c>
      <c r="C504" s="7">
        <v>43588</v>
      </c>
      <c r="D504" s="6">
        <v>1</v>
      </c>
      <c r="E504" s="6">
        <v>2170686886</v>
      </c>
      <c r="F504" s="6" t="s">
        <v>16</v>
      </c>
      <c r="G504" s="6" t="s">
        <v>17</v>
      </c>
      <c r="H504" s="6" t="s">
        <v>17</v>
      </c>
      <c r="I504" s="6" t="s">
        <v>18</v>
      </c>
      <c r="J504" s="6" t="s">
        <v>19</v>
      </c>
      <c r="K504" s="7">
        <v>43591</v>
      </c>
      <c r="L504" s="8">
        <v>0.39583333333333331</v>
      </c>
      <c r="M504" s="6" t="s">
        <v>20</v>
      </c>
      <c r="N504" s="6" t="s">
        <v>21</v>
      </c>
      <c r="O504" s="6" t="s">
        <v>22</v>
      </c>
    </row>
    <row r="505" spans="1:15" hidden="1">
      <c r="A505" t="s">
        <v>15</v>
      </c>
      <c r="B505" t="str">
        <f>"FES1162688067"</f>
        <v>FES1162688067</v>
      </c>
      <c r="C505" s="9">
        <v>43588</v>
      </c>
      <c r="D505">
        <v>1</v>
      </c>
      <c r="E505">
        <v>2170686878</v>
      </c>
      <c r="F505" t="s">
        <v>16</v>
      </c>
      <c r="G505" t="s">
        <v>17</v>
      </c>
      <c r="H505" t="s">
        <v>290</v>
      </c>
      <c r="I505" t="s">
        <v>309</v>
      </c>
      <c r="J505" t="s">
        <v>1037</v>
      </c>
      <c r="K505" s="9">
        <v>43591</v>
      </c>
      <c r="L505" s="10">
        <v>0.38541666666666669</v>
      </c>
      <c r="M505" t="s">
        <v>1038</v>
      </c>
      <c r="N505" t="s">
        <v>1039</v>
      </c>
      <c r="O505" t="s">
        <v>22</v>
      </c>
    </row>
    <row r="506" spans="1:15" hidden="1">
      <c r="A506" t="s">
        <v>15</v>
      </c>
      <c r="B506" t="str">
        <f>"FES1162688069"</f>
        <v>FES1162688069</v>
      </c>
      <c r="C506" s="9">
        <v>43588</v>
      </c>
      <c r="D506">
        <v>2</v>
      </c>
      <c r="E506">
        <v>2170686628</v>
      </c>
      <c r="F506" t="s">
        <v>58</v>
      </c>
      <c r="G506" t="s">
        <v>59</v>
      </c>
      <c r="H506" t="s">
        <v>132</v>
      </c>
      <c r="I506" t="s">
        <v>133</v>
      </c>
      <c r="J506" t="s">
        <v>1008</v>
      </c>
      <c r="K506" s="9">
        <v>43591</v>
      </c>
      <c r="L506" s="10">
        <v>0.3888888888888889</v>
      </c>
      <c r="M506" t="s">
        <v>1009</v>
      </c>
      <c r="N506" t="s">
        <v>1040</v>
      </c>
      <c r="O506" t="s">
        <v>22</v>
      </c>
    </row>
    <row r="507" spans="1:15" hidden="1">
      <c r="A507" t="s">
        <v>15</v>
      </c>
      <c r="B507" t="str">
        <f>"FES1162688107"</f>
        <v>FES1162688107</v>
      </c>
      <c r="C507" s="9">
        <v>43588</v>
      </c>
      <c r="D507">
        <v>1</v>
      </c>
      <c r="E507">
        <v>2170686233</v>
      </c>
      <c r="F507" t="s">
        <v>16</v>
      </c>
      <c r="G507" t="s">
        <v>17</v>
      </c>
      <c r="H507" t="s">
        <v>290</v>
      </c>
      <c r="I507" t="s">
        <v>291</v>
      </c>
      <c r="J507" t="s">
        <v>1041</v>
      </c>
      <c r="K507" s="9">
        <v>43591</v>
      </c>
      <c r="L507" s="10">
        <v>0.40277777777777773</v>
      </c>
      <c r="M507" t="s">
        <v>1042</v>
      </c>
      <c r="N507" t="s">
        <v>1043</v>
      </c>
      <c r="O507" t="s">
        <v>22</v>
      </c>
    </row>
    <row r="508" spans="1:15" hidden="1">
      <c r="A508" t="s">
        <v>15</v>
      </c>
      <c r="B508" t="str">
        <f>"FES1162687908"</f>
        <v>FES1162687908</v>
      </c>
      <c r="C508" s="9">
        <v>43588</v>
      </c>
      <c r="D508">
        <v>1</v>
      </c>
      <c r="E508">
        <v>2170684192</v>
      </c>
      <c r="F508" t="s">
        <v>16</v>
      </c>
      <c r="G508" t="s">
        <v>17</v>
      </c>
      <c r="H508" t="s">
        <v>290</v>
      </c>
      <c r="I508" t="s">
        <v>309</v>
      </c>
      <c r="J508" t="s">
        <v>310</v>
      </c>
      <c r="K508" s="9">
        <v>43591</v>
      </c>
      <c r="L508" s="10">
        <v>0.41666666666666669</v>
      </c>
      <c r="M508" t="s">
        <v>311</v>
      </c>
      <c r="N508" t="s">
        <v>1044</v>
      </c>
      <c r="O508" t="s">
        <v>22</v>
      </c>
    </row>
    <row r="509" spans="1:15" hidden="1">
      <c r="A509" t="s">
        <v>15</v>
      </c>
      <c r="B509" t="str">
        <f>"FES1162688112"</f>
        <v>FES1162688112</v>
      </c>
      <c r="C509" s="9">
        <v>43588</v>
      </c>
      <c r="D509">
        <v>1</v>
      </c>
      <c r="E509">
        <v>2170686960</v>
      </c>
      <c r="F509" t="s">
        <v>16</v>
      </c>
      <c r="G509" t="s">
        <v>17</v>
      </c>
      <c r="H509" t="s">
        <v>290</v>
      </c>
      <c r="I509" t="s">
        <v>291</v>
      </c>
      <c r="J509" t="s">
        <v>297</v>
      </c>
      <c r="K509" s="9">
        <v>43591</v>
      </c>
      <c r="L509" s="10">
        <v>0.36805555555555558</v>
      </c>
      <c r="M509" t="s">
        <v>298</v>
      </c>
      <c r="N509" t="s">
        <v>1045</v>
      </c>
      <c r="O509" t="s">
        <v>22</v>
      </c>
    </row>
    <row r="510" spans="1:15" hidden="1">
      <c r="A510" t="s">
        <v>15</v>
      </c>
      <c r="B510" t="str">
        <f>"FES1162688115"</f>
        <v>FES1162688115</v>
      </c>
      <c r="C510" s="9">
        <v>43588</v>
      </c>
      <c r="D510">
        <v>1</v>
      </c>
      <c r="E510">
        <v>2170686971</v>
      </c>
      <c r="F510" t="s">
        <v>16</v>
      </c>
      <c r="G510" t="s">
        <v>17</v>
      </c>
      <c r="H510" t="s">
        <v>43</v>
      </c>
      <c r="I510" t="s">
        <v>44</v>
      </c>
      <c r="J510" t="s">
        <v>607</v>
      </c>
      <c r="K510" s="9">
        <v>43591</v>
      </c>
      <c r="L510" s="10">
        <v>0.39166666666666666</v>
      </c>
      <c r="M510" t="s">
        <v>607</v>
      </c>
      <c r="N510" t="s">
        <v>1046</v>
      </c>
      <c r="O510" t="s">
        <v>22</v>
      </c>
    </row>
    <row r="511" spans="1:15" hidden="1">
      <c r="A511" t="s">
        <v>15</v>
      </c>
      <c r="B511" t="str">
        <f>"FES1162687981"</f>
        <v>FES1162687981</v>
      </c>
      <c r="C511" s="9">
        <v>43588</v>
      </c>
      <c r="D511">
        <v>1</v>
      </c>
      <c r="E511">
        <v>2170684768</v>
      </c>
      <c r="F511" t="s">
        <v>16</v>
      </c>
      <c r="G511" t="s">
        <v>17</v>
      </c>
      <c r="H511" t="s">
        <v>290</v>
      </c>
      <c r="I511" t="s">
        <v>309</v>
      </c>
      <c r="J511" t="s">
        <v>310</v>
      </c>
      <c r="K511" s="9">
        <v>43591</v>
      </c>
      <c r="L511" s="10">
        <v>0.41666666666666669</v>
      </c>
      <c r="M511" t="s">
        <v>311</v>
      </c>
      <c r="N511" t="s">
        <v>1047</v>
      </c>
      <c r="O511" t="s">
        <v>22</v>
      </c>
    </row>
    <row r="512" spans="1:15" hidden="1">
      <c r="A512" t="s">
        <v>15</v>
      </c>
      <c r="B512" t="str">
        <f>"FES1162688085"</f>
        <v>FES1162688085</v>
      </c>
      <c r="C512" s="9">
        <v>43588</v>
      </c>
      <c r="D512">
        <v>1</v>
      </c>
      <c r="E512">
        <v>2170682417</v>
      </c>
      <c r="F512" t="s">
        <v>16</v>
      </c>
      <c r="G512" t="s">
        <v>17</v>
      </c>
      <c r="H512" t="s">
        <v>290</v>
      </c>
      <c r="I512" t="s">
        <v>291</v>
      </c>
      <c r="J512" t="s">
        <v>297</v>
      </c>
      <c r="K512" s="9">
        <v>43591</v>
      </c>
      <c r="L512" s="10">
        <v>0.36527777777777781</v>
      </c>
      <c r="M512" t="s">
        <v>298</v>
      </c>
      <c r="N512" t="s">
        <v>1048</v>
      </c>
      <c r="O512" t="s">
        <v>22</v>
      </c>
    </row>
    <row r="513" spans="1:15" hidden="1">
      <c r="A513" t="s">
        <v>15</v>
      </c>
      <c r="B513" t="str">
        <f>"FES1162687899"</f>
        <v>FES1162687899</v>
      </c>
      <c r="C513" s="9">
        <v>43588</v>
      </c>
      <c r="D513">
        <v>1</v>
      </c>
      <c r="E513">
        <v>2170673420</v>
      </c>
      <c r="F513" t="s">
        <v>16</v>
      </c>
      <c r="G513" t="s">
        <v>17</v>
      </c>
      <c r="H513" t="s">
        <v>290</v>
      </c>
      <c r="I513" t="s">
        <v>601</v>
      </c>
      <c r="J513" t="s">
        <v>624</v>
      </c>
      <c r="K513" s="9">
        <v>43591</v>
      </c>
      <c r="L513" s="10">
        <v>0.61805555555555558</v>
      </c>
      <c r="M513" t="s">
        <v>1049</v>
      </c>
      <c r="N513" t="s">
        <v>1050</v>
      </c>
      <c r="O513" t="s">
        <v>22</v>
      </c>
    </row>
    <row r="514" spans="1:15" hidden="1">
      <c r="A514" t="s">
        <v>15</v>
      </c>
      <c r="B514" t="str">
        <f>"FES1162688109"</f>
        <v>FES1162688109</v>
      </c>
      <c r="C514" s="9">
        <v>43588</v>
      </c>
      <c r="D514">
        <v>1</v>
      </c>
      <c r="E514">
        <v>2170686953</v>
      </c>
      <c r="F514" t="s">
        <v>16</v>
      </c>
      <c r="G514" t="s">
        <v>17</v>
      </c>
      <c r="H514" t="s">
        <v>141</v>
      </c>
      <c r="I514" t="s">
        <v>142</v>
      </c>
      <c r="J514" t="s">
        <v>228</v>
      </c>
      <c r="K514" s="9">
        <v>43589</v>
      </c>
      <c r="L514" s="10">
        <v>0.41666666666666669</v>
      </c>
      <c r="M514" t="s">
        <v>1051</v>
      </c>
      <c r="N514" t="s">
        <v>1052</v>
      </c>
      <c r="O514" t="s">
        <v>22</v>
      </c>
    </row>
    <row r="515" spans="1:15" hidden="1">
      <c r="A515" t="s">
        <v>15</v>
      </c>
      <c r="B515" t="str">
        <f>"FES1162688108"</f>
        <v>FES1162688108</v>
      </c>
      <c r="C515" s="9">
        <v>43588</v>
      </c>
      <c r="D515">
        <v>1</v>
      </c>
      <c r="E515">
        <v>2170686937</v>
      </c>
      <c r="F515" t="s">
        <v>16</v>
      </c>
      <c r="G515" t="s">
        <v>17</v>
      </c>
      <c r="H515" t="s">
        <v>141</v>
      </c>
      <c r="I515" t="s">
        <v>142</v>
      </c>
      <c r="J515" t="s">
        <v>228</v>
      </c>
      <c r="K515" s="9">
        <v>43589</v>
      </c>
      <c r="L515" s="10">
        <v>0.41666666666666669</v>
      </c>
      <c r="M515" t="s">
        <v>481</v>
      </c>
      <c r="N515" t="s">
        <v>1053</v>
      </c>
      <c r="O515" t="s">
        <v>22</v>
      </c>
    </row>
    <row r="516" spans="1:15">
      <c r="A516" s="6" t="s">
        <v>15</v>
      </c>
      <c r="B516" s="6" t="str">
        <f>"FES1162688090"</f>
        <v>FES1162688090</v>
      </c>
      <c r="C516" s="7">
        <v>43588</v>
      </c>
      <c r="D516" s="6">
        <v>1</v>
      </c>
      <c r="E516" s="6">
        <v>2170682482</v>
      </c>
      <c r="F516" s="6" t="s">
        <v>16</v>
      </c>
      <c r="G516" s="6" t="s">
        <v>17</v>
      </c>
      <c r="H516" s="6" t="s">
        <v>17</v>
      </c>
      <c r="I516" s="6" t="s">
        <v>29</v>
      </c>
      <c r="J516" s="6" t="s">
        <v>963</v>
      </c>
      <c r="K516" s="7">
        <v>43591</v>
      </c>
      <c r="L516" s="8">
        <v>0.35416666666666669</v>
      </c>
      <c r="M516" s="6" t="s">
        <v>714</v>
      </c>
      <c r="N516" s="6" t="s">
        <v>21</v>
      </c>
      <c r="O516" s="6" t="s">
        <v>22</v>
      </c>
    </row>
    <row r="517" spans="1:15" hidden="1">
      <c r="A517" t="s">
        <v>15</v>
      </c>
      <c r="B517" t="str">
        <f>"FES1162687982"</f>
        <v>FES1162687982</v>
      </c>
      <c r="C517" s="9">
        <v>43588</v>
      </c>
      <c r="D517">
        <v>1</v>
      </c>
      <c r="E517">
        <v>2170684773</v>
      </c>
      <c r="F517" t="s">
        <v>16</v>
      </c>
      <c r="G517" t="s">
        <v>17</v>
      </c>
      <c r="H517" t="s">
        <v>290</v>
      </c>
      <c r="I517" t="s">
        <v>309</v>
      </c>
      <c r="J517" t="s">
        <v>310</v>
      </c>
      <c r="K517" s="9">
        <v>43591</v>
      </c>
      <c r="L517" s="10">
        <v>0.41666666666666669</v>
      </c>
      <c r="M517" t="s">
        <v>311</v>
      </c>
      <c r="N517" t="s">
        <v>1054</v>
      </c>
      <c r="O517" t="s">
        <v>22</v>
      </c>
    </row>
    <row r="518" spans="1:15" hidden="1">
      <c r="A518" t="s">
        <v>15</v>
      </c>
      <c r="B518" t="str">
        <f>"FES1162687956"</f>
        <v>FES1162687956</v>
      </c>
      <c r="C518" s="9">
        <v>43588</v>
      </c>
      <c r="D518">
        <v>1</v>
      </c>
      <c r="E518">
        <v>2170686773</v>
      </c>
      <c r="F518" t="s">
        <v>16</v>
      </c>
      <c r="G518" t="s">
        <v>17</v>
      </c>
      <c r="H518" t="s">
        <v>1055</v>
      </c>
      <c r="I518" t="s">
        <v>1056</v>
      </c>
      <c r="J518" t="s">
        <v>1057</v>
      </c>
      <c r="K518" s="9">
        <v>43591</v>
      </c>
      <c r="L518" s="10">
        <v>0.41666666666666669</v>
      </c>
      <c r="M518" t="s">
        <v>1058</v>
      </c>
      <c r="N518" t="s">
        <v>1059</v>
      </c>
      <c r="O518" t="s">
        <v>22</v>
      </c>
    </row>
    <row r="519" spans="1:15">
      <c r="A519" s="6" t="s">
        <v>15</v>
      </c>
      <c r="B519" s="6" t="str">
        <f>"019911529416"</f>
        <v>019911529416</v>
      </c>
      <c r="C519" s="7">
        <v>43588</v>
      </c>
      <c r="D519" s="6">
        <v>1</v>
      </c>
      <c r="E519" s="6" t="s">
        <v>1060</v>
      </c>
      <c r="F519" s="6" t="s">
        <v>16</v>
      </c>
      <c r="G519" s="6" t="s">
        <v>43</v>
      </c>
      <c r="H519" s="6" t="s">
        <v>17</v>
      </c>
      <c r="I519" s="6" t="s">
        <v>64</v>
      </c>
      <c r="J519" s="6" t="s">
        <v>1061</v>
      </c>
      <c r="K519" s="7">
        <v>43591</v>
      </c>
      <c r="L519" s="8">
        <v>0.34722222222222227</v>
      </c>
      <c r="M519" s="6" t="s">
        <v>477</v>
      </c>
      <c r="N519" s="6" t="s">
        <v>21</v>
      </c>
      <c r="O519" s="6" t="s">
        <v>22</v>
      </c>
    </row>
    <row r="520" spans="1:15" ht="15.75" thickBot="1">
      <c r="A520" s="11" t="s">
        <v>15</v>
      </c>
      <c r="B520" s="11" t="str">
        <f>"039902819859"</f>
        <v>039902819859</v>
      </c>
      <c r="C520" s="12">
        <v>43588</v>
      </c>
      <c r="D520" s="11">
        <v>1</v>
      </c>
      <c r="E520" s="11" t="s">
        <v>1060</v>
      </c>
      <c r="F520" s="11" t="s">
        <v>58</v>
      </c>
      <c r="G520" s="11" t="s">
        <v>32</v>
      </c>
      <c r="H520" s="11" t="s">
        <v>17</v>
      </c>
      <c r="I520" s="11" t="s">
        <v>64</v>
      </c>
      <c r="J520" s="11" t="s">
        <v>1061</v>
      </c>
      <c r="K520" s="12">
        <v>43591</v>
      </c>
      <c r="L520" s="13">
        <v>0.35416666666666669</v>
      </c>
      <c r="M520" s="11" t="s">
        <v>477</v>
      </c>
      <c r="N520" s="11" t="s">
        <v>21</v>
      </c>
      <c r="O520" s="11" t="s">
        <v>22</v>
      </c>
    </row>
    <row r="521" spans="1:15" hidden="1">
      <c r="A521" t="s">
        <v>15</v>
      </c>
      <c r="B521" t="str">
        <f>"019911311359"</f>
        <v>019911311359</v>
      </c>
      <c r="C521" s="9">
        <v>43588</v>
      </c>
      <c r="D521">
        <v>1</v>
      </c>
      <c r="E521">
        <v>1703</v>
      </c>
      <c r="F521" t="s">
        <v>58</v>
      </c>
      <c r="G521" t="s">
        <v>43</v>
      </c>
      <c r="H521" t="s">
        <v>59</v>
      </c>
      <c r="I521" t="s">
        <v>64</v>
      </c>
      <c r="J521" t="s">
        <v>1062</v>
      </c>
      <c r="K521" s="9">
        <v>43592</v>
      </c>
      <c r="L521" s="10">
        <v>0.3923611111111111</v>
      </c>
      <c r="M521" t="s">
        <v>477</v>
      </c>
      <c r="N521" t="s">
        <v>1063</v>
      </c>
      <c r="O521" t="s">
        <v>22</v>
      </c>
    </row>
    <row r="522" spans="1:15" hidden="1">
      <c r="A522" t="s">
        <v>15</v>
      </c>
      <c r="B522" t="str">
        <f>"019911492579"</f>
        <v>019911492579</v>
      </c>
      <c r="C522" s="9">
        <v>43588</v>
      </c>
      <c r="D522">
        <v>1</v>
      </c>
      <c r="E522" t="s">
        <v>1064</v>
      </c>
      <c r="F522" t="s">
        <v>58</v>
      </c>
      <c r="G522" t="s">
        <v>43</v>
      </c>
      <c r="H522" t="s">
        <v>59</v>
      </c>
      <c r="I522" t="s">
        <v>64</v>
      </c>
      <c r="J522" t="s">
        <v>1061</v>
      </c>
      <c r="K522" s="9">
        <v>43591</v>
      </c>
      <c r="L522" s="10">
        <v>0.37152777777777773</v>
      </c>
      <c r="M522" t="s">
        <v>477</v>
      </c>
      <c r="N522" t="s">
        <v>1065</v>
      </c>
      <c r="O522" t="s">
        <v>22</v>
      </c>
    </row>
    <row r="523" spans="1:15" hidden="1">
      <c r="A523" t="s">
        <v>15</v>
      </c>
      <c r="B523" t="str">
        <f>"FES1162688167"</f>
        <v>FES1162688167</v>
      </c>
      <c r="C523" s="9">
        <v>43591</v>
      </c>
      <c r="D523">
        <v>1</v>
      </c>
      <c r="E523">
        <v>217687002</v>
      </c>
      <c r="F523" t="s">
        <v>16</v>
      </c>
      <c r="G523" t="s">
        <v>17</v>
      </c>
      <c r="H523" t="s">
        <v>132</v>
      </c>
      <c r="I523" t="s">
        <v>1066</v>
      </c>
      <c r="J523" t="s">
        <v>1067</v>
      </c>
      <c r="K523" s="9">
        <v>43595</v>
      </c>
      <c r="L523" s="10">
        <v>0.55902777777777779</v>
      </c>
      <c r="M523" t="s">
        <v>1068</v>
      </c>
      <c r="N523" t="s">
        <v>1069</v>
      </c>
      <c r="O523" t="s">
        <v>22</v>
      </c>
    </row>
    <row r="524" spans="1:15">
      <c r="A524" s="6" t="s">
        <v>15</v>
      </c>
      <c r="B524" s="6" t="str">
        <f>"FES1162688142"</f>
        <v>FES1162688142</v>
      </c>
      <c r="C524" s="7">
        <v>43591</v>
      </c>
      <c r="D524" s="6">
        <v>1</v>
      </c>
      <c r="E524" s="6">
        <v>2170686799</v>
      </c>
      <c r="F524" s="6" t="s">
        <v>16</v>
      </c>
      <c r="G524" s="6" t="s">
        <v>17</v>
      </c>
      <c r="H524" s="6" t="s">
        <v>17</v>
      </c>
      <c r="I524" s="6" t="s">
        <v>23</v>
      </c>
      <c r="J524" s="6" t="s">
        <v>479</v>
      </c>
      <c r="K524" s="7">
        <v>43592</v>
      </c>
      <c r="L524" s="8">
        <v>0.43055555555555558</v>
      </c>
      <c r="M524" s="6" t="s">
        <v>1070</v>
      </c>
      <c r="N524" s="6" t="s">
        <v>21</v>
      </c>
      <c r="O524" s="6" t="s">
        <v>22</v>
      </c>
    </row>
    <row r="525" spans="1:15" hidden="1">
      <c r="A525" t="s">
        <v>15</v>
      </c>
      <c r="B525" t="str">
        <f>"FES1162688251"</f>
        <v>FES1162688251</v>
      </c>
      <c r="C525" s="9">
        <v>43591</v>
      </c>
      <c r="D525">
        <v>1</v>
      </c>
      <c r="E525">
        <v>2170687077</v>
      </c>
      <c r="F525" t="s">
        <v>16</v>
      </c>
      <c r="G525" t="s">
        <v>17</v>
      </c>
      <c r="H525" t="s">
        <v>322</v>
      </c>
      <c r="I525" t="s">
        <v>618</v>
      </c>
      <c r="J525" t="s">
        <v>1071</v>
      </c>
      <c r="K525" s="9">
        <v>43592</v>
      </c>
      <c r="L525" s="10">
        <v>0.41666666666666669</v>
      </c>
      <c r="M525" t="s">
        <v>1072</v>
      </c>
      <c r="N525" t="s">
        <v>1073</v>
      </c>
      <c r="O525" t="s">
        <v>22</v>
      </c>
    </row>
    <row r="526" spans="1:15" hidden="1">
      <c r="A526" t="s">
        <v>15</v>
      </c>
      <c r="B526" t="str">
        <f>"FES1162688253"</f>
        <v>FES1162688253</v>
      </c>
      <c r="C526" s="9">
        <v>43591</v>
      </c>
      <c r="D526">
        <v>1</v>
      </c>
      <c r="E526">
        <v>2170687078</v>
      </c>
      <c r="F526" t="s">
        <v>16</v>
      </c>
      <c r="G526" t="s">
        <v>17</v>
      </c>
      <c r="H526" t="s">
        <v>43</v>
      </c>
      <c r="I526" t="s">
        <v>44</v>
      </c>
      <c r="J526" t="s">
        <v>1074</v>
      </c>
      <c r="K526" s="9">
        <v>43592</v>
      </c>
      <c r="L526" s="10">
        <v>0.41666666666666669</v>
      </c>
      <c r="M526" t="s">
        <v>1075</v>
      </c>
      <c r="N526" t="s">
        <v>1076</v>
      </c>
      <c r="O526" t="s">
        <v>22</v>
      </c>
    </row>
    <row r="527" spans="1:15" hidden="1">
      <c r="A527" t="s">
        <v>15</v>
      </c>
      <c r="B527" t="str">
        <f>"FES1162688266"</f>
        <v>FES1162688266</v>
      </c>
      <c r="C527" s="9">
        <v>43591</v>
      </c>
      <c r="D527">
        <v>1</v>
      </c>
      <c r="E527">
        <v>2170686978</v>
      </c>
      <c r="F527" t="s">
        <v>16</v>
      </c>
      <c r="G527" t="s">
        <v>17</v>
      </c>
      <c r="H527" t="s">
        <v>43</v>
      </c>
      <c r="I527" t="s">
        <v>44</v>
      </c>
      <c r="J527" t="s">
        <v>1077</v>
      </c>
      <c r="K527" s="9">
        <v>43592</v>
      </c>
      <c r="L527" s="10">
        <v>0.41666666666666669</v>
      </c>
      <c r="M527" t="s">
        <v>1078</v>
      </c>
      <c r="N527" t="s">
        <v>1079</v>
      </c>
      <c r="O527" t="s">
        <v>22</v>
      </c>
    </row>
    <row r="528" spans="1:15">
      <c r="A528" s="6" t="s">
        <v>15</v>
      </c>
      <c r="B528" s="6" t="str">
        <f>"FES1162688213"</f>
        <v>FES1162688213</v>
      </c>
      <c r="C528" s="7">
        <v>43591</v>
      </c>
      <c r="D528" s="6">
        <v>1</v>
      </c>
      <c r="E528" s="6">
        <v>2170687036</v>
      </c>
      <c r="F528" s="6" t="s">
        <v>16</v>
      </c>
      <c r="G528" s="6" t="s">
        <v>17</v>
      </c>
      <c r="H528" s="6" t="s">
        <v>17</v>
      </c>
      <c r="I528" s="6" t="s">
        <v>29</v>
      </c>
      <c r="J528" s="6" t="s">
        <v>1080</v>
      </c>
      <c r="K528" s="7">
        <v>43592</v>
      </c>
      <c r="L528" s="8">
        <v>0.33333333333333331</v>
      </c>
      <c r="M528" s="6" t="s">
        <v>56</v>
      </c>
      <c r="N528" s="6" t="s">
        <v>21</v>
      </c>
      <c r="O528" s="6" t="s">
        <v>22</v>
      </c>
    </row>
    <row r="529" spans="1:15">
      <c r="A529" s="6" t="s">
        <v>15</v>
      </c>
      <c r="B529" s="6" t="str">
        <f>"FES1162688135"</f>
        <v>FES1162688135</v>
      </c>
      <c r="C529" s="7">
        <v>43591</v>
      </c>
      <c r="D529" s="6">
        <v>1</v>
      </c>
      <c r="E529" s="6">
        <v>21706876454</v>
      </c>
      <c r="F529" s="6" t="s">
        <v>16</v>
      </c>
      <c r="G529" s="6" t="s">
        <v>17</v>
      </c>
      <c r="H529" s="6" t="s">
        <v>17</v>
      </c>
      <c r="I529" s="6" t="s">
        <v>103</v>
      </c>
      <c r="J529" s="6" t="s">
        <v>108</v>
      </c>
      <c r="K529" s="7">
        <v>43592</v>
      </c>
      <c r="L529" s="8">
        <v>0.47013888888888888</v>
      </c>
      <c r="M529" s="6" t="s">
        <v>481</v>
      </c>
      <c r="N529" s="6" t="s">
        <v>21</v>
      </c>
      <c r="O529" s="6" t="s">
        <v>22</v>
      </c>
    </row>
    <row r="530" spans="1:15">
      <c r="A530" s="6" t="s">
        <v>15</v>
      </c>
      <c r="B530" s="6" t="str">
        <f>"FES1162688166"</f>
        <v>FES1162688166</v>
      </c>
      <c r="C530" s="7">
        <v>43591</v>
      </c>
      <c r="D530" s="6">
        <v>1</v>
      </c>
      <c r="E530" s="6">
        <v>2170687000</v>
      </c>
      <c r="F530" s="6" t="s">
        <v>16</v>
      </c>
      <c r="G530" s="6" t="s">
        <v>17</v>
      </c>
      <c r="H530" s="6" t="s">
        <v>17</v>
      </c>
      <c r="I530" s="6" t="s">
        <v>18</v>
      </c>
      <c r="J530" s="6" t="s">
        <v>160</v>
      </c>
      <c r="K530" s="7">
        <v>43592</v>
      </c>
      <c r="L530" s="8">
        <v>0.36388888888888887</v>
      </c>
      <c r="M530" s="6" t="s">
        <v>1081</v>
      </c>
      <c r="N530" s="6" t="s">
        <v>21</v>
      </c>
      <c r="O530" s="6" t="s">
        <v>22</v>
      </c>
    </row>
    <row r="531" spans="1:15">
      <c r="A531" s="6" t="s">
        <v>15</v>
      </c>
      <c r="B531" s="6" t="str">
        <f>"FES1162688143"</f>
        <v>FES1162688143</v>
      </c>
      <c r="C531" s="7">
        <v>43591</v>
      </c>
      <c r="D531" s="6">
        <v>1</v>
      </c>
      <c r="E531" s="6">
        <v>2170686806</v>
      </c>
      <c r="F531" s="6" t="s">
        <v>16</v>
      </c>
      <c r="G531" s="6" t="s">
        <v>17</v>
      </c>
      <c r="H531" s="6" t="s">
        <v>17</v>
      </c>
      <c r="I531" s="6" t="s">
        <v>23</v>
      </c>
      <c r="J531" s="6" t="s">
        <v>106</v>
      </c>
      <c r="K531" s="7">
        <v>43592</v>
      </c>
      <c r="L531" s="8">
        <v>0.4375</v>
      </c>
      <c r="M531" s="6" t="s">
        <v>1082</v>
      </c>
      <c r="N531" s="6" t="s">
        <v>21</v>
      </c>
      <c r="O531" s="6" t="s">
        <v>22</v>
      </c>
    </row>
    <row r="532" spans="1:15">
      <c r="A532" s="6" t="s">
        <v>15</v>
      </c>
      <c r="B532" s="6" t="str">
        <f>"FES1162688019"</f>
        <v>FES1162688019</v>
      </c>
      <c r="C532" s="7">
        <v>43591</v>
      </c>
      <c r="D532" s="6">
        <v>1</v>
      </c>
      <c r="E532" s="6">
        <v>2170686849</v>
      </c>
      <c r="F532" s="6" t="s">
        <v>16</v>
      </c>
      <c r="G532" s="6" t="s">
        <v>17</v>
      </c>
      <c r="H532" s="6" t="s">
        <v>17</v>
      </c>
      <c r="I532" s="6" t="s">
        <v>414</v>
      </c>
      <c r="J532" s="6" t="s">
        <v>1083</v>
      </c>
      <c r="K532" s="7">
        <v>43595</v>
      </c>
      <c r="L532" s="8">
        <v>0.43402777777777773</v>
      </c>
      <c r="M532" s="6" t="s">
        <v>1084</v>
      </c>
      <c r="N532" s="6" t="s">
        <v>21</v>
      </c>
      <c r="O532" s="6" t="s">
        <v>22</v>
      </c>
    </row>
    <row r="533" spans="1:15">
      <c r="A533" s="6" t="s">
        <v>15</v>
      </c>
      <c r="B533" s="6" t="str">
        <f>"FES1162688245"</f>
        <v>FES1162688245</v>
      </c>
      <c r="C533" s="7">
        <v>43591</v>
      </c>
      <c r="D533" s="6">
        <v>1</v>
      </c>
      <c r="E533" s="6">
        <v>2170687068</v>
      </c>
      <c r="F533" s="6" t="s">
        <v>16</v>
      </c>
      <c r="G533" s="6" t="s">
        <v>17</v>
      </c>
      <c r="H533" s="6" t="s">
        <v>17</v>
      </c>
      <c r="I533" s="6" t="s">
        <v>23</v>
      </c>
      <c r="J533" s="6" t="s">
        <v>479</v>
      </c>
      <c r="K533" s="7">
        <v>43592</v>
      </c>
      <c r="L533" s="8">
        <v>0.4375</v>
      </c>
      <c r="M533" s="6" t="s">
        <v>1070</v>
      </c>
      <c r="N533" s="6" t="s">
        <v>21</v>
      </c>
      <c r="O533" s="6" t="s">
        <v>22</v>
      </c>
    </row>
    <row r="534" spans="1:15">
      <c r="A534" s="6" t="s">
        <v>15</v>
      </c>
      <c r="B534" s="6" t="str">
        <f>"FES1162688144"</f>
        <v>FES1162688144</v>
      </c>
      <c r="C534" s="7">
        <v>43591</v>
      </c>
      <c r="D534" s="6">
        <v>1</v>
      </c>
      <c r="E534" s="6">
        <v>2170686887</v>
      </c>
      <c r="F534" s="6" t="s">
        <v>16</v>
      </c>
      <c r="G534" s="6" t="s">
        <v>17</v>
      </c>
      <c r="H534" s="6" t="s">
        <v>17</v>
      </c>
      <c r="I534" s="6" t="s">
        <v>23</v>
      </c>
      <c r="J534" s="6" t="s">
        <v>119</v>
      </c>
      <c r="K534" s="7">
        <v>43592</v>
      </c>
      <c r="L534" s="8">
        <v>0.31736111111111115</v>
      </c>
      <c r="M534" s="6" t="s">
        <v>120</v>
      </c>
      <c r="N534" s="6" t="s">
        <v>21</v>
      </c>
      <c r="O534" s="6" t="s">
        <v>22</v>
      </c>
    </row>
    <row r="535" spans="1:15">
      <c r="A535" s="6" t="s">
        <v>15</v>
      </c>
      <c r="B535" s="6" t="str">
        <f>"FES1162688229"</f>
        <v>FES1162688229</v>
      </c>
      <c r="C535" s="7">
        <v>43591</v>
      </c>
      <c r="D535" s="6">
        <v>1</v>
      </c>
      <c r="E535" s="6">
        <v>2170687049</v>
      </c>
      <c r="F535" s="6" t="s">
        <v>16</v>
      </c>
      <c r="G535" s="6" t="s">
        <v>17</v>
      </c>
      <c r="H535" s="6" t="s">
        <v>17</v>
      </c>
      <c r="I535" s="6" t="s">
        <v>64</v>
      </c>
      <c r="J535" s="6" t="s">
        <v>116</v>
      </c>
      <c r="K535" s="7">
        <v>43592</v>
      </c>
      <c r="L535" s="8">
        <v>0.33333333333333331</v>
      </c>
      <c r="M535" s="6" t="s">
        <v>1085</v>
      </c>
      <c r="N535" s="6" t="s">
        <v>21</v>
      </c>
      <c r="O535" s="6" t="s">
        <v>22</v>
      </c>
    </row>
    <row r="536" spans="1:15" hidden="1">
      <c r="A536" t="s">
        <v>15</v>
      </c>
      <c r="B536" t="str">
        <f>"FES1162688121"</f>
        <v>FES1162688121</v>
      </c>
      <c r="C536" s="9">
        <v>43591</v>
      </c>
      <c r="D536">
        <v>1</v>
      </c>
      <c r="E536">
        <v>2170682461</v>
      </c>
      <c r="F536" t="s">
        <v>16</v>
      </c>
      <c r="G536" t="s">
        <v>17</v>
      </c>
      <c r="H536" t="s">
        <v>32</v>
      </c>
      <c r="I536" t="s">
        <v>33</v>
      </c>
      <c r="J536" t="s">
        <v>34</v>
      </c>
      <c r="K536" s="9">
        <v>43592</v>
      </c>
      <c r="L536" s="10">
        <v>0.34027777777777773</v>
      </c>
      <c r="M536" t="s">
        <v>35</v>
      </c>
      <c r="N536" t="s">
        <v>1086</v>
      </c>
      <c r="O536" t="s">
        <v>22</v>
      </c>
    </row>
    <row r="537" spans="1:15">
      <c r="A537" s="6" t="s">
        <v>15</v>
      </c>
      <c r="B537" s="6" t="str">
        <f>"FES1162688281"</f>
        <v>FES1162688281</v>
      </c>
      <c r="C537" s="7">
        <v>43591</v>
      </c>
      <c r="D537" s="6">
        <v>1</v>
      </c>
      <c r="E537" s="6">
        <v>2170687129</v>
      </c>
      <c r="F537" s="6" t="s">
        <v>16</v>
      </c>
      <c r="G537" s="6" t="s">
        <v>17</v>
      </c>
      <c r="H537" s="6" t="s">
        <v>17</v>
      </c>
      <c r="I537" s="6" t="s">
        <v>23</v>
      </c>
      <c r="J537" s="6" t="s">
        <v>1087</v>
      </c>
      <c r="K537" s="7">
        <v>43592</v>
      </c>
      <c r="L537" s="8">
        <v>0.28750000000000003</v>
      </c>
      <c r="M537" s="6" t="s">
        <v>1088</v>
      </c>
      <c r="N537" s="6" t="s">
        <v>21</v>
      </c>
      <c r="O537" s="6" t="s">
        <v>22</v>
      </c>
    </row>
    <row r="538" spans="1:15" hidden="1">
      <c r="A538" t="s">
        <v>15</v>
      </c>
      <c r="B538" t="str">
        <f>"FES1162688171"</f>
        <v>FES1162688171</v>
      </c>
      <c r="C538" s="9">
        <v>43591</v>
      </c>
      <c r="D538">
        <v>1</v>
      </c>
      <c r="E538">
        <v>2170687007</v>
      </c>
      <c r="F538" t="s">
        <v>16</v>
      </c>
      <c r="G538" t="s">
        <v>17</v>
      </c>
      <c r="H538" t="s">
        <v>43</v>
      </c>
      <c r="I538" t="s">
        <v>75</v>
      </c>
      <c r="J538" t="s">
        <v>1089</v>
      </c>
      <c r="K538" s="9">
        <v>43592</v>
      </c>
      <c r="L538" s="10">
        <v>0.46597222222222223</v>
      </c>
      <c r="M538" t="s">
        <v>1090</v>
      </c>
      <c r="N538" t="s">
        <v>1091</v>
      </c>
      <c r="O538" t="s">
        <v>22</v>
      </c>
    </row>
    <row r="539" spans="1:15" hidden="1">
      <c r="A539" t="s">
        <v>15</v>
      </c>
      <c r="B539" t="str">
        <f>"FES1162688193"</f>
        <v>FES1162688193</v>
      </c>
      <c r="C539" s="9">
        <v>43591</v>
      </c>
      <c r="D539">
        <v>1</v>
      </c>
      <c r="E539">
        <v>2170687029</v>
      </c>
      <c r="F539" t="s">
        <v>16</v>
      </c>
      <c r="G539" t="s">
        <v>17</v>
      </c>
      <c r="H539" t="s">
        <v>132</v>
      </c>
      <c r="I539" t="s">
        <v>133</v>
      </c>
      <c r="J539" t="s">
        <v>639</v>
      </c>
      <c r="K539" s="9">
        <v>43592</v>
      </c>
      <c r="L539" s="10">
        <v>0.37847222222222227</v>
      </c>
      <c r="M539" t="s">
        <v>1092</v>
      </c>
      <c r="N539" t="s">
        <v>1093</v>
      </c>
      <c r="O539" t="s">
        <v>22</v>
      </c>
    </row>
    <row r="540" spans="1:15">
      <c r="A540" s="6" t="s">
        <v>15</v>
      </c>
      <c r="B540" s="6" t="str">
        <f>"FES1162688192"</f>
        <v>FES1162688192</v>
      </c>
      <c r="C540" s="7">
        <v>43591</v>
      </c>
      <c r="D540" s="6">
        <v>1</v>
      </c>
      <c r="E540" s="6">
        <v>2170686064</v>
      </c>
      <c r="F540" s="6" t="s">
        <v>16</v>
      </c>
      <c r="G540" s="6" t="s">
        <v>17</v>
      </c>
      <c r="H540" s="6" t="s">
        <v>17</v>
      </c>
      <c r="I540" s="6" t="s">
        <v>64</v>
      </c>
      <c r="J540" s="6" t="s">
        <v>1094</v>
      </c>
      <c r="K540" s="7">
        <v>43592</v>
      </c>
      <c r="L540" s="8">
        <v>0.34652777777777777</v>
      </c>
      <c r="M540" s="6" t="s">
        <v>913</v>
      </c>
      <c r="N540" s="6" t="s">
        <v>21</v>
      </c>
      <c r="O540" s="6" t="s">
        <v>22</v>
      </c>
    </row>
    <row r="541" spans="1:15">
      <c r="A541" s="6" t="s">
        <v>15</v>
      </c>
      <c r="B541" s="6" t="str">
        <f>"FES1162688189"</f>
        <v>FES1162688189</v>
      </c>
      <c r="C541" s="7">
        <v>43591</v>
      </c>
      <c r="D541" s="6">
        <v>1</v>
      </c>
      <c r="E541" s="6">
        <v>2170687025</v>
      </c>
      <c r="F541" s="6" t="s">
        <v>16</v>
      </c>
      <c r="G541" s="6" t="s">
        <v>17</v>
      </c>
      <c r="H541" s="6" t="s">
        <v>17</v>
      </c>
      <c r="I541" s="6" t="s">
        <v>18</v>
      </c>
      <c r="J541" s="6" t="s">
        <v>335</v>
      </c>
      <c r="K541" s="7">
        <v>43592</v>
      </c>
      <c r="L541" s="8">
        <v>0.33333333333333331</v>
      </c>
      <c r="M541" s="6" t="s">
        <v>1095</v>
      </c>
      <c r="N541" s="6" t="s">
        <v>21</v>
      </c>
      <c r="O541" s="6" t="s">
        <v>22</v>
      </c>
    </row>
    <row r="542" spans="1:15">
      <c r="A542" s="6" t="s">
        <v>15</v>
      </c>
      <c r="B542" s="6" t="str">
        <f>"FES1162688161"</f>
        <v>FES1162688161</v>
      </c>
      <c r="C542" s="7">
        <v>43591</v>
      </c>
      <c r="D542" s="6">
        <v>1</v>
      </c>
      <c r="E542" s="6">
        <v>2170686992</v>
      </c>
      <c r="F542" s="6" t="s">
        <v>16</v>
      </c>
      <c r="G542" s="6" t="s">
        <v>17</v>
      </c>
      <c r="H542" s="6" t="s">
        <v>17</v>
      </c>
      <c r="I542" s="6" t="s">
        <v>64</v>
      </c>
      <c r="J542" s="6" t="s">
        <v>116</v>
      </c>
      <c r="K542" s="7">
        <v>43592</v>
      </c>
      <c r="L542" s="8">
        <v>0.33333333333333331</v>
      </c>
      <c r="M542" s="6" t="s">
        <v>1085</v>
      </c>
      <c r="N542" s="6" t="s">
        <v>21</v>
      </c>
      <c r="O542" s="6" t="s">
        <v>22</v>
      </c>
    </row>
    <row r="543" spans="1:15">
      <c r="A543" s="6" t="s">
        <v>15</v>
      </c>
      <c r="B543" s="6" t="str">
        <f>"FES1162688151"</f>
        <v>FES1162688151</v>
      </c>
      <c r="C543" s="7">
        <v>43591</v>
      </c>
      <c r="D543" s="6">
        <v>1</v>
      </c>
      <c r="E543" s="6">
        <v>2170686972</v>
      </c>
      <c r="F543" s="6" t="s">
        <v>16</v>
      </c>
      <c r="G543" s="6" t="s">
        <v>17</v>
      </c>
      <c r="H543" s="6" t="s">
        <v>17</v>
      </c>
      <c r="I543" s="6" t="s">
        <v>414</v>
      </c>
      <c r="J543" s="6" t="s">
        <v>1096</v>
      </c>
      <c r="K543" s="7">
        <v>43592</v>
      </c>
      <c r="L543" s="8">
        <v>0.86111111111111116</v>
      </c>
      <c r="M543" s="6" t="s">
        <v>969</v>
      </c>
      <c r="N543" s="6" t="s">
        <v>21</v>
      </c>
      <c r="O543" s="6" t="s">
        <v>22</v>
      </c>
    </row>
    <row r="544" spans="1:15">
      <c r="A544" s="6" t="s">
        <v>15</v>
      </c>
      <c r="B544" s="6" t="str">
        <f>"FES1162688172"</f>
        <v>FES1162688172</v>
      </c>
      <c r="C544" s="7">
        <v>43591</v>
      </c>
      <c r="D544" s="6">
        <v>1</v>
      </c>
      <c r="E544" s="6">
        <v>2170687008</v>
      </c>
      <c r="F544" s="6" t="s">
        <v>16</v>
      </c>
      <c r="G544" s="6" t="s">
        <v>17</v>
      </c>
      <c r="H544" s="6" t="s">
        <v>17</v>
      </c>
      <c r="I544" s="6" t="s">
        <v>935</v>
      </c>
      <c r="J544" s="6" t="s">
        <v>936</v>
      </c>
      <c r="K544" s="7">
        <v>43592</v>
      </c>
      <c r="L544" s="8">
        <v>0.43055555555555558</v>
      </c>
      <c r="M544" s="6" t="s">
        <v>1097</v>
      </c>
      <c r="N544" s="6" t="s">
        <v>21</v>
      </c>
      <c r="O544" s="6" t="s">
        <v>22</v>
      </c>
    </row>
    <row r="545" spans="1:15">
      <c r="A545" s="6" t="s">
        <v>15</v>
      </c>
      <c r="B545" s="6" t="str">
        <f>"FES1162688160"</f>
        <v>FES1162688160</v>
      </c>
      <c r="C545" s="7">
        <v>43591</v>
      </c>
      <c r="D545" s="6">
        <v>1</v>
      </c>
      <c r="E545" s="6">
        <v>2170686990</v>
      </c>
      <c r="F545" s="6" t="s">
        <v>16</v>
      </c>
      <c r="G545" s="6" t="s">
        <v>17</v>
      </c>
      <c r="H545" s="6" t="s">
        <v>17</v>
      </c>
      <c r="I545" s="6" t="s">
        <v>64</v>
      </c>
      <c r="J545" s="6" t="s">
        <v>116</v>
      </c>
      <c r="K545" s="7">
        <v>43592</v>
      </c>
      <c r="L545" s="8">
        <v>0.33333333333333331</v>
      </c>
      <c r="M545" s="6" t="s">
        <v>1085</v>
      </c>
      <c r="N545" s="6" t="s">
        <v>21</v>
      </c>
      <c r="O545" s="6" t="s">
        <v>22</v>
      </c>
    </row>
    <row r="546" spans="1:15">
      <c r="A546" s="6" t="s">
        <v>15</v>
      </c>
      <c r="B546" s="6" t="str">
        <f>"FES1162688165"</f>
        <v>FES1162688165</v>
      </c>
      <c r="C546" s="7">
        <v>43591</v>
      </c>
      <c r="D546" s="6">
        <v>1</v>
      </c>
      <c r="E546" s="6">
        <v>2170686999</v>
      </c>
      <c r="F546" s="6" t="s">
        <v>16</v>
      </c>
      <c r="G546" s="6" t="s">
        <v>17</v>
      </c>
      <c r="H546" s="6" t="s">
        <v>17</v>
      </c>
      <c r="I546" s="6" t="s">
        <v>64</v>
      </c>
      <c r="J546" s="6" t="s">
        <v>1098</v>
      </c>
      <c r="K546" s="7">
        <v>43594</v>
      </c>
      <c r="L546" s="8">
        <v>0.33333333333333331</v>
      </c>
      <c r="M546" s="6" t="s">
        <v>1099</v>
      </c>
      <c r="N546" s="6" t="s">
        <v>21</v>
      </c>
      <c r="O546" s="6" t="s">
        <v>22</v>
      </c>
    </row>
    <row r="547" spans="1:15" hidden="1">
      <c r="A547" t="s">
        <v>15</v>
      </c>
      <c r="B547" t="str">
        <f>"FES1162688129"</f>
        <v>FES1162688129</v>
      </c>
      <c r="C547" s="9">
        <v>43591</v>
      </c>
      <c r="D547">
        <v>1</v>
      </c>
      <c r="E547">
        <v>2170685775</v>
      </c>
      <c r="F547" t="s">
        <v>16</v>
      </c>
      <c r="G547" t="s">
        <v>17</v>
      </c>
      <c r="H547" t="s">
        <v>43</v>
      </c>
      <c r="I547" t="s">
        <v>44</v>
      </c>
      <c r="J547" t="s">
        <v>72</v>
      </c>
      <c r="K547" s="9">
        <v>43592</v>
      </c>
      <c r="L547" s="10">
        <v>0.40416666666666662</v>
      </c>
      <c r="M547" t="s">
        <v>1100</v>
      </c>
      <c r="N547" t="s">
        <v>1101</v>
      </c>
      <c r="O547" t="s">
        <v>22</v>
      </c>
    </row>
    <row r="548" spans="1:15" hidden="1">
      <c r="A548" t="s">
        <v>15</v>
      </c>
      <c r="B548" t="str">
        <f>"FES1162688179"</f>
        <v>FES1162688179</v>
      </c>
      <c r="C548" s="9">
        <v>43591</v>
      </c>
      <c r="D548">
        <v>1</v>
      </c>
      <c r="E548">
        <v>2170687017</v>
      </c>
      <c r="F548" t="s">
        <v>16</v>
      </c>
      <c r="G548" t="s">
        <v>17</v>
      </c>
      <c r="H548" t="s">
        <v>43</v>
      </c>
      <c r="I548" t="s">
        <v>738</v>
      </c>
      <c r="J548" t="s">
        <v>739</v>
      </c>
      <c r="K548" s="9">
        <v>43592</v>
      </c>
      <c r="L548" s="10">
        <v>0.37083333333333335</v>
      </c>
      <c r="M548" t="s">
        <v>740</v>
      </c>
      <c r="N548" t="s">
        <v>1102</v>
      </c>
      <c r="O548" t="s">
        <v>22</v>
      </c>
    </row>
    <row r="549" spans="1:15" hidden="1">
      <c r="A549" t="s">
        <v>15</v>
      </c>
      <c r="B549" t="str">
        <f>"FES1162688131"</f>
        <v>FES1162688131</v>
      </c>
      <c r="C549" s="9">
        <v>43591</v>
      </c>
      <c r="D549">
        <v>1</v>
      </c>
      <c r="E549">
        <v>2170686018</v>
      </c>
      <c r="F549" t="s">
        <v>16</v>
      </c>
      <c r="G549" t="s">
        <v>17</v>
      </c>
      <c r="H549" t="s">
        <v>43</v>
      </c>
      <c r="I549" t="s">
        <v>44</v>
      </c>
      <c r="J549" t="s">
        <v>72</v>
      </c>
      <c r="K549" s="9">
        <v>43592</v>
      </c>
      <c r="L549" s="10">
        <v>0.40277777777777773</v>
      </c>
      <c r="M549" t="s">
        <v>1100</v>
      </c>
      <c r="N549" t="s">
        <v>1103</v>
      </c>
      <c r="O549" t="s">
        <v>22</v>
      </c>
    </row>
    <row r="550" spans="1:15" hidden="1">
      <c r="A550" t="s">
        <v>15</v>
      </c>
      <c r="B550" t="str">
        <f>"FES1162688138"</f>
        <v>FES1162688138</v>
      </c>
      <c r="C550" s="9">
        <v>43591</v>
      </c>
      <c r="D550">
        <v>1</v>
      </c>
      <c r="E550">
        <v>2170686640</v>
      </c>
      <c r="F550" t="s">
        <v>16</v>
      </c>
      <c r="G550" t="s">
        <v>17</v>
      </c>
      <c r="H550" t="s">
        <v>43</v>
      </c>
      <c r="I550" t="s">
        <v>44</v>
      </c>
      <c r="J550" t="s">
        <v>751</v>
      </c>
      <c r="K550" s="9">
        <v>43592</v>
      </c>
      <c r="L550" s="10">
        <v>0.34027777777777773</v>
      </c>
      <c r="M550" t="s">
        <v>1104</v>
      </c>
      <c r="N550" t="s">
        <v>1105</v>
      </c>
      <c r="O550" t="s">
        <v>22</v>
      </c>
    </row>
    <row r="551" spans="1:15" hidden="1">
      <c r="A551" t="s">
        <v>15</v>
      </c>
      <c r="B551" t="str">
        <f>"FES1162688154"</f>
        <v>FES1162688154</v>
      </c>
      <c r="C551" s="9">
        <v>43591</v>
      </c>
      <c r="D551">
        <v>1</v>
      </c>
      <c r="E551">
        <v>2170686798</v>
      </c>
      <c r="F551" t="s">
        <v>16</v>
      </c>
      <c r="G551" t="s">
        <v>17</v>
      </c>
      <c r="H551" t="s">
        <v>43</v>
      </c>
      <c r="I551" t="s">
        <v>44</v>
      </c>
      <c r="J551" t="s">
        <v>1077</v>
      </c>
      <c r="K551" s="9">
        <v>43592</v>
      </c>
      <c r="L551" s="10">
        <v>0.41666666666666669</v>
      </c>
      <c r="M551" t="s">
        <v>1106</v>
      </c>
      <c r="N551" t="s">
        <v>1107</v>
      </c>
      <c r="O551" t="s">
        <v>22</v>
      </c>
    </row>
    <row r="552" spans="1:15" hidden="1">
      <c r="A552" t="s">
        <v>15</v>
      </c>
      <c r="B552" t="str">
        <f>"FES1162688176"</f>
        <v>FES1162688176</v>
      </c>
      <c r="C552" s="9">
        <v>43591</v>
      </c>
      <c r="D552">
        <v>1</v>
      </c>
      <c r="E552">
        <v>2170687014</v>
      </c>
      <c r="F552" t="s">
        <v>16</v>
      </c>
      <c r="G552" t="s">
        <v>17</v>
      </c>
      <c r="H552" t="s">
        <v>43</v>
      </c>
      <c r="I552" t="s">
        <v>44</v>
      </c>
      <c r="J552" t="s">
        <v>1077</v>
      </c>
      <c r="K552" s="9">
        <v>43592</v>
      </c>
      <c r="L552" s="10">
        <v>0.41666666666666669</v>
      </c>
      <c r="M552" t="s">
        <v>1106</v>
      </c>
      <c r="N552" t="s">
        <v>1108</v>
      </c>
      <c r="O552" t="s">
        <v>22</v>
      </c>
    </row>
    <row r="553" spans="1:15" hidden="1">
      <c r="A553" t="s">
        <v>15</v>
      </c>
      <c r="B553" t="str">
        <f>"FES1162688150"</f>
        <v>FES1162688150</v>
      </c>
      <c r="C553" s="9">
        <v>43591</v>
      </c>
      <c r="D553">
        <v>1</v>
      </c>
      <c r="E553">
        <v>2170686970</v>
      </c>
      <c r="F553" t="s">
        <v>16</v>
      </c>
      <c r="G553" t="s">
        <v>17</v>
      </c>
      <c r="H553" t="s">
        <v>43</v>
      </c>
      <c r="I553" t="s">
        <v>738</v>
      </c>
      <c r="J553" t="s">
        <v>739</v>
      </c>
      <c r="K553" s="9">
        <v>43592</v>
      </c>
      <c r="L553" s="10">
        <v>0.37083333333333335</v>
      </c>
      <c r="M553" t="s">
        <v>740</v>
      </c>
      <c r="N553" t="s">
        <v>1109</v>
      </c>
      <c r="O553" t="s">
        <v>22</v>
      </c>
    </row>
    <row r="554" spans="1:15">
      <c r="A554" s="6" t="s">
        <v>15</v>
      </c>
      <c r="B554" s="6" t="str">
        <f>"FES1162688218"</f>
        <v>FES1162688218</v>
      </c>
      <c r="C554" s="7">
        <v>43591</v>
      </c>
      <c r="D554" s="6">
        <v>1</v>
      </c>
      <c r="E554" s="6">
        <v>2170687043</v>
      </c>
      <c r="F554" s="6" t="s">
        <v>16</v>
      </c>
      <c r="G554" s="6" t="s">
        <v>17</v>
      </c>
      <c r="H554" s="6" t="s">
        <v>17</v>
      </c>
      <c r="I554" s="6" t="s">
        <v>64</v>
      </c>
      <c r="J554" s="6" t="s">
        <v>875</v>
      </c>
      <c r="K554" s="7">
        <v>43592</v>
      </c>
      <c r="L554" s="8">
        <v>0.40486111111111112</v>
      </c>
      <c r="M554" s="6" t="s">
        <v>876</v>
      </c>
      <c r="N554" s="6" t="s">
        <v>21</v>
      </c>
      <c r="O554" s="6" t="s">
        <v>22</v>
      </c>
    </row>
    <row r="555" spans="1:15">
      <c r="A555" s="6" t="s">
        <v>15</v>
      </c>
      <c r="B555" s="6" t="str">
        <f>"FES1162688203"</f>
        <v>FES1162688203</v>
      </c>
      <c r="C555" s="7">
        <v>43591</v>
      </c>
      <c r="D555" s="6">
        <v>1</v>
      </c>
      <c r="E555" s="6">
        <v>217068766</v>
      </c>
      <c r="F555" s="6" t="s">
        <v>16</v>
      </c>
      <c r="G555" s="6" t="s">
        <v>17</v>
      </c>
      <c r="H555" s="6" t="s">
        <v>17</v>
      </c>
      <c r="I555" s="6" t="s">
        <v>64</v>
      </c>
      <c r="J555" s="6" t="s">
        <v>1110</v>
      </c>
      <c r="K555" s="7">
        <v>43592</v>
      </c>
      <c r="L555" s="8">
        <v>0.2986111111111111</v>
      </c>
      <c r="M555" s="6" t="s">
        <v>1111</v>
      </c>
      <c r="N555" s="6" t="s">
        <v>21</v>
      </c>
      <c r="O555" s="6" t="s">
        <v>22</v>
      </c>
    </row>
    <row r="556" spans="1:15">
      <c r="A556" s="6" t="s">
        <v>15</v>
      </c>
      <c r="B556" s="6" t="str">
        <f>"FES1162688226"</f>
        <v>FES1162688226</v>
      </c>
      <c r="C556" s="7">
        <v>43591</v>
      </c>
      <c r="D556" s="6">
        <v>1</v>
      </c>
      <c r="E556" s="6">
        <v>2170685023</v>
      </c>
      <c r="F556" s="6" t="s">
        <v>16</v>
      </c>
      <c r="G556" s="6" t="s">
        <v>17</v>
      </c>
      <c r="H556" s="6" t="s">
        <v>17</v>
      </c>
      <c r="I556" s="6" t="s">
        <v>564</v>
      </c>
      <c r="J556" s="6" t="s">
        <v>565</v>
      </c>
      <c r="K556" s="7">
        <v>43592</v>
      </c>
      <c r="L556" s="8">
        <v>0.33333333333333331</v>
      </c>
      <c r="M556" s="6" t="s">
        <v>1112</v>
      </c>
      <c r="N556" s="6" t="s">
        <v>21</v>
      </c>
      <c r="O556" s="6" t="s">
        <v>22</v>
      </c>
    </row>
    <row r="557" spans="1:15" hidden="1">
      <c r="A557" t="s">
        <v>15</v>
      </c>
      <c r="B557" t="str">
        <f>"FES1162688175"</f>
        <v>FES1162688175</v>
      </c>
      <c r="C557" s="9">
        <v>43591</v>
      </c>
      <c r="D557">
        <v>1</v>
      </c>
      <c r="E557">
        <v>2170687011</v>
      </c>
      <c r="F557" t="s">
        <v>16</v>
      </c>
      <c r="G557" t="s">
        <v>17</v>
      </c>
      <c r="H557" t="s">
        <v>141</v>
      </c>
      <c r="I557" t="s">
        <v>185</v>
      </c>
      <c r="J557" t="s">
        <v>1113</v>
      </c>
      <c r="K557" s="9">
        <v>43592</v>
      </c>
      <c r="L557" s="10">
        <v>0.3888888888888889</v>
      </c>
      <c r="M557" t="s">
        <v>1114</v>
      </c>
      <c r="N557" t="s">
        <v>1115</v>
      </c>
      <c r="O557" t="s">
        <v>22</v>
      </c>
    </row>
    <row r="558" spans="1:15" hidden="1">
      <c r="A558" t="s">
        <v>15</v>
      </c>
      <c r="B558" t="str">
        <f>"FES1162688141"</f>
        <v>FES1162688141</v>
      </c>
      <c r="C558" s="9">
        <v>43591</v>
      </c>
      <c r="D558">
        <v>1</v>
      </c>
      <c r="E558">
        <v>2170686788</v>
      </c>
      <c r="F558" t="s">
        <v>16</v>
      </c>
      <c r="G558" t="s">
        <v>17</v>
      </c>
      <c r="H558" t="s">
        <v>141</v>
      </c>
      <c r="I558" t="s">
        <v>185</v>
      </c>
      <c r="J558" t="s">
        <v>1116</v>
      </c>
      <c r="K558" s="9">
        <v>43592</v>
      </c>
      <c r="L558" s="10">
        <v>0.39583333333333331</v>
      </c>
      <c r="M558" t="s">
        <v>1117</v>
      </c>
      <c r="N558" t="s">
        <v>1118</v>
      </c>
      <c r="O558" t="s">
        <v>22</v>
      </c>
    </row>
    <row r="559" spans="1:15" hidden="1">
      <c r="A559" t="s">
        <v>15</v>
      </c>
      <c r="B559" t="str">
        <f>"FES1162688127"</f>
        <v>FES1162688127</v>
      </c>
      <c r="C559" s="9">
        <v>43591</v>
      </c>
      <c r="D559">
        <v>1</v>
      </c>
      <c r="E559">
        <v>2170685585</v>
      </c>
      <c r="F559" t="s">
        <v>16</v>
      </c>
      <c r="G559" t="s">
        <v>17</v>
      </c>
      <c r="H559" t="s">
        <v>37</v>
      </c>
      <c r="I559" t="s">
        <v>38</v>
      </c>
      <c r="J559" t="s">
        <v>39</v>
      </c>
      <c r="K559" s="9">
        <v>43592</v>
      </c>
      <c r="L559" s="10">
        <v>0.37638888888888888</v>
      </c>
      <c r="M559" t="s">
        <v>40</v>
      </c>
      <c r="N559" t="s">
        <v>1119</v>
      </c>
      <c r="O559" t="s">
        <v>22</v>
      </c>
    </row>
    <row r="560" spans="1:15" hidden="1">
      <c r="A560" t="s">
        <v>15</v>
      </c>
      <c r="B560" t="str">
        <f>"FES1162688159"</f>
        <v>FES1162688159</v>
      </c>
      <c r="C560" s="9">
        <v>43591</v>
      </c>
      <c r="D560">
        <v>1</v>
      </c>
      <c r="E560">
        <v>2170686989</v>
      </c>
      <c r="F560" t="s">
        <v>16</v>
      </c>
      <c r="G560" t="s">
        <v>17</v>
      </c>
      <c r="H560" t="s">
        <v>132</v>
      </c>
      <c r="I560" t="s">
        <v>133</v>
      </c>
      <c r="J560" t="s">
        <v>238</v>
      </c>
      <c r="K560" s="9">
        <v>43592</v>
      </c>
      <c r="L560" s="10">
        <v>0.35416666666666669</v>
      </c>
      <c r="M560" t="s">
        <v>1120</v>
      </c>
      <c r="N560" t="s">
        <v>1121</v>
      </c>
      <c r="O560" t="s">
        <v>22</v>
      </c>
    </row>
    <row r="561" spans="1:15" hidden="1">
      <c r="A561" t="s">
        <v>15</v>
      </c>
      <c r="B561" t="str">
        <f>"FES1162688256"</f>
        <v>FES1162688256</v>
      </c>
      <c r="C561" s="9">
        <v>43591</v>
      </c>
      <c r="D561">
        <v>1</v>
      </c>
      <c r="E561">
        <v>2170687081</v>
      </c>
      <c r="F561" t="s">
        <v>16</v>
      </c>
      <c r="G561" t="s">
        <v>17</v>
      </c>
      <c r="H561" t="s">
        <v>141</v>
      </c>
      <c r="I561" t="s">
        <v>142</v>
      </c>
      <c r="J561" t="s">
        <v>1122</v>
      </c>
      <c r="K561" s="9">
        <v>43592</v>
      </c>
      <c r="L561" s="10">
        <v>0.40138888888888885</v>
      </c>
      <c r="M561" t="s">
        <v>1123</v>
      </c>
      <c r="N561" t="s">
        <v>1124</v>
      </c>
      <c r="O561" t="s">
        <v>22</v>
      </c>
    </row>
    <row r="562" spans="1:15" hidden="1">
      <c r="A562" t="s">
        <v>15</v>
      </c>
      <c r="B562" t="str">
        <f>"FES1162688128"</f>
        <v>FES1162688128</v>
      </c>
      <c r="C562" s="9">
        <v>43591</v>
      </c>
      <c r="D562">
        <v>1</v>
      </c>
      <c r="E562">
        <v>2170685635</v>
      </c>
      <c r="F562" t="s">
        <v>16</v>
      </c>
      <c r="G562" t="s">
        <v>17</v>
      </c>
      <c r="H562" t="s">
        <v>32</v>
      </c>
      <c r="I562" t="s">
        <v>33</v>
      </c>
      <c r="J562" t="s">
        <v>1125</v>
      </c>
      <c r="K562" s="9">
        <v>43592</v>
      </c>
      <c r="L562" s="10">
        <v>0.38541666666666669</v>
      </c>
      <c r="M562" t="s">
        <v>1126</v>
      </c>
      <c r="N562" t="s">
        <v>1127</v>
      </c>
      <c r="O562" t="s">
        <v>22</v>
      </c>
    </row>
    <row r="563" spans="1:15" hidden="1">
      <c r="A563" t="s">
        <v>15</v>
      </c>
      <c r="B563" t="str">
        <f>"FES1162688122"</f>
        <v>FES1162688122</v>
      </c>
      <c r="C563" s="9">
        <v>43591</v>
      </c>
      <c r="D563">
        <v>1</v>
      </c>
      <c r="E563">
        <v>2170682879</v>
      </c>
      <c r="F563" t="s">
        <v>16</v>
      </c>
      <c r="G563" t="s">
        <v>17</v>
      </c>
      <c r="H563" t="s">
        <v>32</v>
      </c>
      <c r="I563" t="s">
        <v>269</v>
      </c>
      <c r="J563" t="s">
        <v>683</v>
      </c>
      <c r="K563" s="9">
        <v>43592</v>
      </c>
      <c r="L563" s="10">
        <v>0.35416666666666669</v>
      </c>
      <c r="M563" t="s">
        <v>684</v>
      </c>
      <c r="N563" t="s">
        <v>1128</v>
      </c>
      <c r="O563" t="s">
        <v>22</v>
      </c>
    </row>
    <row r="564" spans="1:15" hidden="1">
      <c r="A564" t="s">
        <v>15</v>
      </c>
      <c r="B564" t="str">
        <f>"FES1162688132"</f>
        <v>FES1162688132</v>
      </c>
      <c r="C564" s="9">
        <v>43591</v>
      </c>
      <c r="D564">
        <v>1</v>
      </c>
      <c r="E564">
        <v>2170686045</v>
      </c>
      <c r="F564" t="s">
        <v>16</v>
      </c>
      <c r="G564" t="s">
        <v>17</v>
      </c>
      <c r="H564" t="s">
        <v>32</v>
      </c>
      <c r="I564" t="s">
        <v>269</v>
      </c>
      <c r="J564" t="s">
        <v>683</v>
      </c>
      <c r="K564" s="9">
        <v>43592</v>
      </c>
      <c r="L564" s="10">
        <v>0.35416666666666669</v>
      </c>
      <c r="M564" t="s">
        <v>931</v>
      </c>
      <c r="N564" t="s">
        <v>1129</v>
      </c>
      <c r="O564" t="s">
        <v>22</v>
      </c>
    </row>
    <row r="565" spans="1:15" hidden="1">
      <c r="A565" t="s">
        <v>15</v>
      </c>
      <c r="B565" t="str">
        <f>"FES1162688118"</f>
        <v>FES1162688118</v>
      </c>
      <c r="C565" s="9">
        <v>43591</v>
      </c>
      <c r="D565">
        <v>1</v>
      </c>
      <c r="E565">
        <v>2170681729</v>
      </c>
      <c r="F565" t="s">
        <v>16</v>
      </c>
      <c r="G565" t="s">
        <v>17</v>
      </c>
      <c r="H565" t="s">
        <v>32</v>
      </c>
      <c r="I565" t="s">
        <v>33</v>
      </c>
      <c r="J565" t="s">
        <v>34</v>
      </c>
      <c r="K565" s="9">
        <v>43592</v>
      </c>
      <c r="L565" s="10">
        <v>0.34791666666666665</v>
      </c>
      <c r="M565" t="s">
        <v>35</v>
      </c>
      <c r="N565" t="s">
        <v>1130</v>
      </c>
      <c r="O565" t="s">
        <v>22</v>
      </c>
    </row>
    <row r="566" spans="1:15" hidden="1">
      <c r="A566" t="s">
        <v>15</v>
      </c>
      <c r="B566" t="str">
        <f>"FES1162688119"</f>
        <v>FES1162688119</v>
      </c>
      <c r="C566" s="9">
        <v>43591</v>
      </c>
      <c r="D566">
        <v>1</v>
      </c>
      <c r="E566">
        <v>2170682201</v>
      </c>
      <c r="F566" t="s">
        <v>16</v>
      </c>
      <c r="G566" t="s">
        <v>17</v>
      </c>
      <c r="H566" t="s">
        <v>32</v>
      </c>
      <c r="I566" t="s">
        <v>33</v>
      </c>
      <c r="J566" t="s">
        <v>34</v>
      </c>
      <c r="K566" s="9">
        <v>43592</v>
      </c>
      <c r="L566" s="10">
        <v>0.34791666666666665</v>
      </c>
      <c r="M566" t="s">
        <v>35</v>
      </c>
      <c r="N566" t="s">
        <v>1131</v>
      </c>
      <c r="O566" t="s">
        <v>22</v>
      </c>
    </row>
    <row r="567" spans="1:15" hidden="1">
      <c r="A567" t="s">
        <v>15</v>
      </c>
      <c r="B567" t="str">
        <f>"FES1162688219"</f>
        <v>FES1162688219</v>
      </c>
      <c r="C567" s="9">
        <v>43591</v>
      </c>
      <c r="D567">
        <v>1</v>
      </c>
      <c r="E567">
        <v>2170683328</v>
      </c>
      <c r="F567" t="s">
        <v>16</v>
      </c>
      <c r="G567" t="s">
        <v>17</v>
      </c>
      <c r="H567" t="s">
        <v>141</v>
      </c>
      <c r="I567" t="s">
        <v>458</v>
      </c>
      <c r="J567" t="s">
        <v>1132</v>
      </c>
      <c r="K567" s="9">
        <v>43592</v>
      </c>
      <c r="L567" s="10">
        <v>0.3125</v>
      </c>
      <c r="M567" t="s">
        <v>1133</v>
      </c>
      <c r="N567" t="s">
        <v>1134</v>
      </c>
      <c r="O567" t="s">
        <v>22</v>
      </c>
    </row>
    <row r="568" spans="1:15">
      <c r="A568" s="6" t="s">
        <v>15</v>
      </c>
      <c r="B568" s="6" t="str">
        <f>"FES1162688197"</f>
        <v>FES1162688197</v>
      </c>
      <c r="C568" s="7">
        <v>43591</v>
      </c>
      <c r="D568" s="6">
        <v>1</v>
      </c>
      <c r="E568" s="6">
        <v>2170683995</v>
      </c>
      <c r="F568" s="6" t="s">
        <v>16</v>
      </c>
      <c r="G568" s="6" t="s">
        <v>17</v>
      </c>
      <c r="H568" s="6" t="s">
        <v>17</v>
      </c>
      <c r="I568" s="6" t="s">
        <v>64</v>
      </c>
      <c r="J568" s="6" t="s">
        <v>1135</v>
      </c>
      <c r="K568" s="7">
        <v>43594</v>
      </c>
      <c r="L568" s="8">
        <v>0.375</v>
      </c>
      <c r="M568" s="6" t="s">
        <v>1136</v>
      </c>
      <c r="N568" s="6" t="s">
        <v>21</v>
      </c>
      <c r="O568" s="6" t="s">
        <v>22</v>
      </c>
    </row>
    <row r="569" spans="1:15" hidden="1">
      <c r="A569" t="s">
        <v>15</v>
      </c>
      <c r="B569" t="str">
        <f>"FES1162688212"</f>
        <v>FES1162688212</v>
      </c>
      <c r="C569" s="9">
        <v>43591</v>
      </c>
      <c r="D569">
        <v>1</v>
      </c>
      <c r="E569">
        <v>2170684635</v>
      </c>
      <c r="F569" t="s">
        <v>16</v>
      </c>
      <c r="G569" t="s">
        <v>17</v>
      </c>
      <c r="H569" t="s">
        <v>141</v>
      </c>
      <c r="I569" t="s">
        <v>142</v>
      </c>
      <c r="J569" t="s">
        <v>213</v>
      </c>
      <c r="K569" s="9">
        <v>43592</v>
      </c>
      <c r="L569" s="10">
        <v>0.4069444444444445</v>
      </c>
      <c r="M569" t="s">
        <v>214</v>
      </c>
      <c r="N569" t="s">
        <v>1137</v>
      </c>
      <c r="O569" t="s">
        <v>22</v>
      </c>
    </row>
    <row r="570" spans="1:15">
      <c r="A570" s="6" t="s">
        <v>15</v>
      </c>
      <c r="B570" s="6" t="str">
        <f>"FES1162688202"</f>
        <v>FES1162688202</v>
      </c>
      <c r="C570" s="7">
        <v>43591</v>
      </c>
      <c r="D570" s="6">
        <v>1</v>
      </c>
      <c r="E570" s="6">
        <v>2170684454</v>
      </c>
      <c r="F570" s="6" t="s">
        <v>16</v>
      </c>
      <c r="G570" s="6" t="s">
        <v>17</v>
      </c>
      <c r="H570" s="6" t="s">
        <v>17</v>
      </c>
      <c r="I570" s="6" t="s">
        <v>18</v>
      </c>
      <c r="J570" s="6" t="s">
        <v>1138</v>
      </c>
      <c r="K570" s="7">
        <v>43592</v>
      </c>
      <c r="L570" s="8">
        <v>0.3576388888888889</v>
      </c>
      <c r="M570" s="6" t="s">
        <v>1139</v>
      </c>
      <c r="N570" s="6" t="s">
        <v>21</v>
      </c>
      <c r="O570" s="6" t="s">
        <v>22</v>
      </c>
    </row>
    <row r="571" spans="1:15" hidden="1">
      <c r="A571" t="s">
        <v>15</v>
      </c>
      <c r="B571" t="str">
        <f>"FES1162688147"</f>
        <v>FES1162688147</v>
      </c>
      <c r="C571" s="9">
        <v>43591</v>
      </c>
      <c r="D571">
        <v>1</v>
      </c>
      <c r="E571">
        <v>2170686966</v>
      </c>
      <c r="F571" t="s">
        <v>16</v>
      </c>
      <c r="G571" t="s">
        <v>17</v>
      </c>
      <c r="H571" t="s">
        <v>32</v>
      </c>
      <c r="I571" t="s">
        <v>33</v>
      </c>
      <c r="J571" t="s">
        <v>360</v>
      </c>
      <c r="K571" s="9">
        <v>43592</v>
      </c>
      <c r="L571" s="10">
        <v>0.35416666666666669</v>
      </c>
      <c r="M571" t="s">
        <v>361</v>
      </c>
      <c r="N571" t="s">
        <v>1140</v>
      </c>
      <c r="O571" t="s">
        <v>22</v>
      </c>
    </row>
    <row r="572" spans="1:15" hidden="1">
      <c r="A572" t="s">
        <v>15</v>
      </c>
      <c r="B572" t="str">
        <f>"FES1162688120"</f>
        <v>FES1162688120</v>
      </c>
      <c r="C572" s="9">
        <v>43591</v>
      </c>
      <c r="D572">
        <v>1</v>
      </c>
      <c r="E572">
        <v>2170682202</v>
      </c>
      <c r="F572" t="s">
        <v>16</v>
      </c>
      <c r="G572" t="s">
        <v>17</v>
      </c>
      <c r="H572" t="s">
        <v>32</v>
      </c>
      <c r="I572" t="s">
        <v>33</v>
      </c>
      <c r="J572" t="s">
        <v>34</v>
      </c>
      <c r="K572" s="9">
        <v>43592</v>
      </c>
      <c r="L572" s="10">
        <v>0.34791666666666665</v>
      </c>
      <c r="M572" t="s">
        <v>35</v>
      </c>
      <c r="N572" t="s">
        <v>1141</v>
      </c>
      <c r="O572" t="s">
        <v>22</v>
      </c>
    </row>
    <row r="573" spans="1:15" hidden="1">
      <c r="A573" t="s">
        <v>15</v>
      </c>
      <c r="B573" t="str">
        <f>"FES1162688148"</f>
        <v>FES1162688148</v>
      </c>
      <c r="C573" s="9">
        <v>43591</v>
      </c>
      <c r="D573">
        <v>1</v>
      </c>
      <c r="E573">
        <v>2170686967</v>
      </c>
      <c r="F573" t="s">
        <v>16</v>
      </c>
      <c r="G573" t="s">
        <v>17</v>
      </c>
      <c r="H573" t="s">
        <v>32</v>
      </c>
      <c r="I573" t="s">
        <v>33</v>
      </c>
      <c r="J573" t="s">
        <v>506</v>
      </c>
      <c r="K573" s="9">
        <v>43592</v>
      </c>
      <c r="L573" s="10">
        <v>0.33333333333333331</v>
      </c>
      <c r="M573" t="s">
        <v>1142</v>
      </c>
      <c r="N573" t="s">
        <v>1143</v>
      </c>
      <c r="O573" t="s">
        <v>22</v>
      </c>
    </row>
    <row r="574" spans="1:15">
      <c r="A574" s="6" t="s">
        <v>15</v>
      </c>
      <c r="B574" s="6" t="str">
        <f>"FES1162688163"</f>
        <v>FES1162688163</v>
      </c>
      <c r="C574" s="7">
        <v>43591</v>
      </c>
      <c r="D574" s="6">
        <v>1</v>
      </c>
      <c r="E574" s="6">
        <v>2170686994</v>
      </c>
      <c r="F574" s="6" t="s">
        <v>16</v>
      </c>
      <c r="G574" s="6" t="s">
        <v>17</v>
      </c>
      <c r="H574" s="6" t="s">
        <v>17</v>
      </c>
      <c r="I574" s="6" t="s">
        <v>18</v>
      </c>
      <c r="J574" s="6" t="s">
        <v>19</v>
      </c>
      <c r="K574" s="7">
        <v>43592</v>
      </c>
      <c r="L574" s="8">
        <v>0.39930555555555558</v>
      </c>
      <c r="M574" s="6" t="s">
        <v>20</v>
      </c>
      <c r="N574" s="6" t="s">
        <v>21</v>
      </c>
      <c r="O574" s="6" t="s">
        <v>22</v>
      </c>
    </row>
    <row r="575" spans="1:15">
      <c r="A575" s="6" t="s">
        <v>15</v>
      </c>
      <c r="B575" s="6" t="str">
        <f>"FES1162688156"</f>
        <v>FES1162688156</v>
      </c>
      <c r="C575" s="7">
        <v>43591</v>
      </c>
      <c r="D575" s="6">
        <v>1</v>
      </c>
      <c r="E575" s="6">
        <v>2170686981</v>
      </c>
      <c r="F575" s="6" t="s">
        <v>16</v>
      </c>
      <c r="G575" s="6" t="s">
        <v>17</v>
      </c>
      <c r="H575" s="6" t="s">
        <v>17</v>
      </c>
      <c r="I575" s="6" t="s">
        <v>64</v>
      </c>
      <c r="J575" s="6" t="s">
        <v>552</v>
      </c>
      <c r="K575" s="7">
        <v>43594</v>
      </c>
      <c r="L575" s="8">
        <v>0.33333333333333331</v>
      </c>
      <c r="M575" s="6" t="s">
        <v>1144</v>
      </c>
      <c r="N575" s="6" t="s">
        <v>21</v>
      </c>
      <c r="O575" s="6" t="s">
        <v>22</v>
      </c>
    </row>
    <row r="576" spans="1:15">
      <c r="A576" s="6" t="s">
        <v>15</v>
      </c>
      <c r="B576" s="6" t="str">
        <f>"FES1162688145"</f>
        <v>FES1162688145</v>
      </c>
      <c r="C576" s="7">
        <v>43591</v>
      </c>
      <c r="D576" s="6">
        <v>1</v>
      </c>
      <c r="E576" s="6">
        <v>2170686964</v>
      </c>
      <c r="F576" s="6" t="s">
        <v>16</v>
      </c>
      <c r="G576" s="6" t="s">
        <v>17</v>
      </c>
      <c r="H576" s="6" t="s">
        <v>17</v>
      </c>
      <c r="I576" s="6" t="s">
        <v>18</v>
      </c>
      <c r="J576" s="6" t="s">
        <v>1145</v>
      </c>
      <c r="K576" s="7">
        <v>43592</v>
      </c>
      <c r="L576" s="8">
        <v>0.39999999999999997</v>
      </c>
      <c r="M576" s="6" t="s">
        <v>1146</v>
      </c>
      <c r="N576" s="6" t="s">
        <v>21</v>
      </c>
      <c r="O576" s="6" t="s">
        <v>22</v>
      </c>
    </row>
    <row r="577" spans="1:15">
      <c r="A577" s="6" t="s">
        <v>15</v>
      </c>
      <c r="B577" s="6" t="str">
        <f>"FES1162688137"</f>
        <v>FES1162688137</v>
      </c>
      <c r="C577" s="7">
        <v>43591</v>
      </c>
      <c r="D577" s="6">
        <v>1</v>
      </c>
      <c r="E577" s="6">
        <v>2170686551</v>
      </c>
      <c r="F577" s="6" t="s">
        <v>16</v>
      </c>
      <c r="G577" s="6" t="s">
        <v>17</v>
      </c>
      <c r="H577" s="6" t="s">
        <v>17</v>
      </c>
      <c r="I577" s="6" t="s">
        <v>421</v>
      </c>
      <c r="J577" s="6" t="s">
        <v>885</v>
      </c>
      <c r="K577" s="7">
        <v>43592</v>
      </c>
      <c r="L577" s="8">
        <v>0.33333333333333331</v>
      </c>
      <c r="M577" s="6" t="s">
        <v>100</v>
      </c>
      <c r="N577" s="6" t="s">
        <v>21</v>
      </c>
      <c r="O577" s="6" t="s">
        <v>22</v>
      </c>
    </row>
    <row r="578" spans="1:15" hidden="1">
      <c r="A578" t="s">
        <v>15</v>
      </c>
      <c r="B578" t="str">
        <f>"FES1162688136"</f>
        <v>FES1162688136</v>
      </c>
      <c r="C578" s="9">
        <v>43591</v>
      </c>
      <c r="D578">
        <v>1</v>
      </c>
      <c r="E578">
        <v>2170686489</v>
      </c>
      <c r="F578" t="s">
        <v>16</v>
      </c>
      <c r="G578" t="s">
        <v>17</v>
      </c>
      <c r="H578" t="s">
        <v>43</v>
      </c>
      <c r="I578" t="s">
        <v>44</v>
      </c>
      <c r="J578" t="s">
        <v>128</v>
      </c>
      <c r="K578" s="9">
        <v>43592</v>
      </c>
      <c r="L578" s="10">
        <v>0.4145833333333333</v>
      </c>
      <c r="M578" t="s">
        <v>1147</v>
      </c>
      <c r="N578" t="s">
        <v>1148</v>
      </c>
      <c r="O578" t="s">
        <v>22</v>
      </c>
    </row>
    <row r="579" spans="1:15" hidden="1">
      <c r="A579" t="s">
        <v>15</v>
      </c>
      <c r="B579" t="str">
        <f>"FES1162688139"</f>
        <v>FES1162688139</v>
      </c>
      <c r="C579" s="9">
        <v>43591</v>
      </c>
      <c r="D579">
        <v>1</v>
      </c>
      <c r="E579">
        <v>2170686760</v>
      </c>
      <c r="F579" t="s">
        <v>16</v>
      </c>
      <c r="G579" t="s">
        <v>17</v>
      </c>
      <c r="H579" t="s">
        <v>43</v>
      </c>
      <c r="I579" t="s">
        <v>44</v>
      </c>
      <c r="J579" t="s">
        <v>48</v>
      </c>
      <c r="K579" s="9">
        <v>43592</v>
      </c>
      <c r="L579" s="10">
        <v>0.34583333333333338</v>
      </c>
      <c r="M579" t="s">
        <v>1149</v>
      </c>
      <c r="N579" t="s">
        <v>1150</v>
      </c>
      <c r="O579" t="s">
        <v>22</v>
      </c>
    </row>
    <row r="580" spans="1:15" hidden="1">
      <c r="A580" t="s">
        <v>15</v>
      </c>
      <c r="B580" t="str">
        <f>"FES1162688174"</f>
        <v>FES1162688174</v>
      </c>
      <c r="C580" s="9">
        <v>43591</v>
      </c>
      <c r="D580">
        <v>1</v>
      </c>
      <c r="E580">
        <v>2170687010</v>
      </c>
      <c r="F580" t="s">
        <v>16</v>
      </c>
      <c r="G580" t="s">
        <v>17</v>
      </c>
      <c r="H580" t="s">
        <v>43</v>
      </c>
      <c r="I580" t="s">
        <v>44</v>
      </c>
      <c r="J580" t="s">
        <v>114</v>
      </c>
      <c r="K580" s="9">
        <v>43592</v>
      </c>
      <c r="L580" s="10">
        <v>0.39930555555555558</v>
      </c>
      <c r="M580" t="s">
        <v>652</v>
      </c>
      <c r="N580" t="s">
        <v>1151</v>
      </c>
      <c r="O580" t="s">
        <v>22</v>
      </c>
    </row>
    <row r="581" spans="1:15">
      <c r="A581" s="6" t="s">
        <v>15</v>
      </c>
      <c r="B581" s="6" t="str">
        <f>"FES1162688215"</f>
        <v>FES1162688215</v>
      </c>
      <c r="C581" s="7">
        <v>43591</v>
      </c>
      <c r="D581" s="6">
        <v>1</v>
      </c>
      <c r="E581" s="6">
        <v>2170687038</v>
      </c>
      <c r="F581" s="6" t="s">
        <v>16</v>
      </c>
      <c r="G581" s="6" t="s">
        <v>17</v>
      </c>
      <c r="H581" s="6" t="s">
        <v>17</v>
      </c>
      <c r="I581" s="6" t="s">
        <v>103</v>
      </c>
      <c r="J581" s="6" t="s">
        <v>1152</v>
      </c>
      <c r="K581" s="7">
        <v>43592</v>
      </c>
      <c r="L581" s="8">
        <v>0.43611111111111112</v>
      </c>
      <c r="M581" s="6" t="s">
        <v>1153</v>
      </c>
      <c r="N581" s="6" t="s">
        <v>21</v>
      </c>
      <c r="O581" s="6" t="s">
        <v>22</v>
      </c>
    </row>
    <row r="582" spans="1:15">
      <c r="A582" s="6" t="s">
        <v>15</v>
      </c>
      <c r="B582" s="6" t="str">
        <f>"FES1162688272"</f>
        <v>FES1162688272</v>
      </c>
      <c r="C582" s="7">
        <v>43591</v>
      </c>
      <c r="D582" s="6">
        <v>1</v>
      </c>
      <c r="E582" s="6">
        <v>2170687118</v>
      </c>
      <c r="F582" s="6" t="s">
        <v>16</v>
      </c>
      <c r="G582" s="6" t="s">
        <v>17</v>
      </c>
      <c r="H582" s="6" t="s">
        <v>17</v>
      </c>
      <c r="I582" s="6" t="s">
        <v>18</v>
      </c>
      <c r="J582" s="6" t="s">
        <v>19</v>
      </c>
      <c r="K582" s="7">
        <v>43592</v>
      </c>
      <c r="L582" s="8">
        <v>0.39930555555555558</v>
      </c>
      <c r="M582" s="6" t="s">
        <v>913</v>
      </c>
      <c r="N582" s="6" t="s">
        <v>21</v>
      </c>
      <c r="O582" s="6" t="s">
        <v>22</v>
      </c>
    </row>
    <row r="583" spans="1:15">
      <c r="A583" s="6" t="s">
        <v>15</v>
      </c>
      <c r="B583" s="6" t="str">
        <f>"FES1162688258"</f>
        <v>FES1162688258</v>
      </c>
      <c r="C583" s="7">
        <v>43591</v>
      </c>
      <c r="D583" s="6">
        <v>1</v>
      </c>
      <c r="E583" s="6">
        <v>2170687085</v>
      </c>
      <c r="F583" s="6" t="s">
        <v>16</v>
      </c>
      <c r="G583" s="6" t="s">
        <v>17</v>
      </c>
      <c r="H583" s="6" t="s">
        <v>17</v>
      </c>
      <c r="I583" s="6" t="s">
        <v>23</v>
      </c>
      <c r="J583" s="6" t="s">
        <v>1154</v>
      </c>
      <c r="K583" s="7">
        <v>43592</v>
      </c>
      <c r="L583" s="8">
        <v>0.35000000000000003</v>
      </c>
      <c r="M583" s="6" t="s">
        <v>1155</v>
      </c>
      <c r="N583" s="6" t="s">
        <v>21</v>
      </c>
      <c r="O583" s="6" t="s">
        <v>22</v>
      </c>
    </row>
    <row r="584" spans="1:15" hidden="1">
      <c r="A584" t="s">
        <v>15</v>
      </c>
      <c r="B584" t="str">
        <f>"FES1162688262"</f>
        <v>FES1162688262</v>
      </c>
      <c r="C584" s="9">
        <v>43591</v>
      </c>
      <c r="D584">
        <v>1</v>
      </c>
      <c r="E584">
        <v>2170687102</v>
      </c>
      <c r="F584" t="s">
        <v>16</v>
      </c>
      <c r="G584" t="s">
        <v>17</v>
      </c>
      <c r="H584" t="s">
        <v>132</v>
      </c>
      <c r="I584" t="s">
        <v>133</v>
      </c>
      <c r="J584" t="s">
        <v>238</v>
      </c>
      <c r="K584" s="9">
        <v>43592</v>
      </c>
      <c r="L584" s="10">
        <v>0.35416666666666669</v>
      </c>
      <c r="M584" t="s">
        <v>1120</v>
      </c>
      <c r="N584" t="s">
        <v>1156</v>
      </c>
      <c r="O584" t="s">
        <v>22</v>
      </c>
    </row>
    <row r="585" spans="1:15">
      <c r="A585" s="6" t="s">
        <v>15</v>
      </c>
      <c r="B585" s="6" t="str">
        <f>"FES1162688244"</f>
        <v>FES1162688244</v>
      </c>
      <c r="C585" s="7">
        <v>43591</v>
      </c>
      <c r="D585" s="6">
        <v>1</v>
      </c>
      <c r="E585" s="6">
        <v>2170687067</v>
      </c>
      <c r="F585" s="6" t="s">
        <v>16</v>
      </c>
      <c r="G585" s="6" t="s">
        <v>17</v>
      </c>
      <c r="H585" s="6" t="s">
        <v>17</v>
      </c>
      <c r="I585" s="6" t="s">
        <v>23</v>
      </c>
      <c r="J585" s="6" t="s">
        <v>479</v>
      </c>
      <c r="K585" s="7">
        <v>43592</v>
      </c>
      <c r="L585" s="8">
        <v>0.43124999999999997</v>
      </c>
      <c r="M585" s="6" t="s">
        <v>1070</v>
      </c>
      <c r="N585" s="6" t="s">
        <v>21</v>
      </c>
      <c r="O585" s="6" t="s">
        <v>22</v>
      </c>
    </row>
    <row r="586" spans="1:15">
      <c r="A586" s="6" t="s">
        <v>15</v>
      </c>
      <c r="B586" s="6" t="str">
        <f>"FES1162688261"</f>
        <v>FES1162688261</v>
      </c>
      <c r="C586" s="7">
        <v>43591</v>
      </c>
      <c r="D586" s="6">
        <v>1</v>
      </c>
      <c r="E586" s="6">
        <v>2170687098</v>
      </c>
      <c r="F586" s="6" t="s">
        <v>16</v>
      </c>
      <c r="G586" s="6" t="s">
        <v>17</v>
      </c>
      <c r="H586" s="6" t="s">
        <v>17</v>
      </c>
      <c r="I586" s="6" t="s">
        <v>18</v>
      </c>
      <c r="J586" s="6" t="s">
        <v>19</v>
      </c>
      <c r="K586" s="7">
        <v>43592</v>
      </c>
      <c r="L586" s="8">
        <v>0.39583333333333331</v>
      </c>
      <c r="M586" s="6" t="s">
        <v>20</v>
      </c>
      <c r="N586" s="6" t="s">
        <v>21</v>
      </c>
      <c r="O586" s="6" t="s">
        <v>22</v>
      </c>
    </row>
    <row r="587" spans="1:15">
      <c r="A587" s="6" t="s">
        <v>15</v>
      </c>
      <c r="B587" s="6" t="str">
        <f>"FES1162688242"</f>
        <v>FES1162688242</v>
      </c>
      <c r="C587" s="7">
        <v>43591</v>
      </c>
      <c r="D587" s="6">
        <v>1</v>
      </c>
      <c r="E587" s="6">
        <v>2170686064</v>
      </c>
      <c r="F587" s="6" t="s">
        <v>16</v>
      </c>
      <c r="G587" s="6" t="s">
        <v>17</v>
      </c>
      <c r="H587" s="6" t="s">
        <v>17</v>
      </c>
      <c r="I587" s="6" t="s">
        <v>64</v>
      </c>
      <c r="J587" s="6" t="s">
        <v>1094</v>
      </c>
      <c r="K587" s="7">
        <v>43592</v>
      </c>
      <c r="L587" s="8">
        <v>0.34583333333333338</v>
      </c>
      <c r="M587" s="6" t="s">
        <v>913</v>
      </c>
      <c r="N587" s="6" t="s">
        <v>21</v>
      </c>
      <c r="O587" s="6" t="s">
        <v>22</v>
      </c>
    </row>
    <row r="588" spans="1:15" hidden="1">
      <c r="A588" t="s">
        <v>15</v>
      </c>
      <c r="B588" t="str">
        <f>"FES1162688232"</f>
        <v>FES1162688232</v>
      </c>
      <c r="C588" s="9">
        <v>43591</v>
      </c>
      <c r="D588">
        <v>1</v>
      </c>
      <c r="E588">
        <v>2170686569</v>
      </c>
      <c r="F588" t="s">
        <v>16</v>
      </c>
      <c r="G588" t="s">
        <v>17</v>
      </c>
      <c r="H588" t="s">
        <v>43</v>
      </c>
      <c r="I588" t="s">
        <v>44</v>
      </c>
      <c r="J588" t="s">
        <v>1157</v>
      </c>
      <c r="K588" s="9">
        <v>43592</v>
      </c>
      <c r="L588" s="10">
        <v>0.41666666666666669</v>
      </c>
      <c r="M588" t="s">
        <v>1158</v>
      </c>
      <c r="N588" t="s">
        <v>1159</v>
      </c>
      <c r="O588" t="s">
        <v>22</v>
      </c>
    </row>
    <row r="589" spans="1:15" hidden="1">
      <c r="A589" t="s">
        <v>15</v>
      </c>
      <c r="B589" t="str">
        <f>"FES1162688239"</f>
        <v>FES1162688239</v>
      </c>
      <c r="C589" s="9">
        <v>43591</v>
      </c>
      <c r="D589">
        <v>1</v>
      </c>
      <c r="E589">
        <v>2170687058</v>
      </c>
      <c r="F589" t="s">
        <v>16</v>
      </c>
      <c r="G589" t="s">
        <v>17</v>
      </c>
      <c r="H589" t="s">
        <v>43</v>
      </c>
      <c r="I589" t="s">
        <v>44</v>
      </c>
      <c r="J589" t="s">
        <v>798</v>
      </c>
      <c r="K589" s="9">
        <v>43592</v>
      </c>
      <c r="L589" s="10">
        <v>0.41666666666666669</v>
      </c>
      <c r="M589" t="s">
        <v>799</v>
      </c>
      <c r="N589" t="s">
        <v>1160</v>
      </c>
      <c r="O589" t="s">
        <v>22</v>
      </c>
    </row>
    <row r="590" spans="1:15">
      <c r="A590" s="6" t="s">
        <v>15</v>
      </c>
      <c r="B590" s="6" t="str">
        <f>"FES1162688257"</f>
        <v>FES1162688257</v>
      </c>
      <c r="C590" s="7">
        <v>43591</v>
      </c>
      <c r="D590" s="6">
        <v>1</v>
      </c>
      <c r="E590" s="6">
        <v>2170687084</v>
      </c>
      <c r="F590" s="6" t="s">
        <v>16</v>
      </c>
      <c r="G590" s="6" t="s">
        <v>17</v>
      </c>
      <c r="H590" s="6" t="s">
        <v>17</v>
      </c>
      <c r="I590" s="6" t="s">
        <v>18</v>
      </c>
      <c r="J590" s="6" t="s">
        <v>408</v>
      </c>
      <c r="K590" s="7">
        <v>43592</v>
      </c>
      <c r="L590" s="8">
        <v>0.37986111111111115</v>
      </c>
      <c r="M590" s="6" t="s">
        <v>1161</v>
      </c>
      <c r="N590" s="6" t="s">
        <v>21</v>
      </c>
      <c r="O590" s="6" t="s">
        <v>22</v>
      </c>
    </row>
    <row r="591" spans="1:15">
      <c r="A591" s="6" t="s">
        <v>15</v>
      </c>
      <c r="B591" s="6" t="str">
        <f>"FES1162688214"</f>
        <v>FES1162688214</v>
      </c>
      <c r="C591" s="7">
        <v>43591</v>
      </c>
      <c r="D591" s="6">
        <v>1</v>
      </c>
      <c r="E591" s="6">
        <v>2170687037</v>
      </c>
      <c r="F591" s="6" t="s">
        <v>16</v>
      </c>
      <c r="G591" s="6" t="s">
        <v>17</v>
      </c>
      <c r="H591" s="6" t="s">
        <v>17</v>
      </c>
      <c r="I591" s="6" t="s">
        <v>103</v>
      </c>
      <c r="J591" s="6" t="s">
        <v>1152</v>
      </c>
      <c r="K591" s="7">
        <v>43592</v>
      </c>
      <c r="L591" s="8">
        <v>0.43611111111111112</v>
      </c>
      <c r="M591" s="6" t="s">
        <v>1153</v>
      </c>
      <c r="N591" s="6" t="s">
        <v>21</v>
      </c>
      <c r="O591" s="6" t="s">
        <v>22</v>
      </c>
    </row>
    <row r="592" spans="1:15">
      <c r="A592" s="6" t="s">
        <v>15</v>
      </c>
      <c r="B592" s="6" t="str">
        <f>"FES1162688208"</f>
        <v>FES1162688208</v>
      </c>
      <c r="C592" s="7">
        <v>43591</v>
      </c>
      <c r="D592" s="6">
        <v>1</v>
      </c>
      <c r="E592" s="6">
        <v>2170684471</v>
      </c>
      <c r="F592" s="6" t="s">
        <v>16</v>
      </c>
      <c r="G592" s="6" t="s">
        <v>17</v>
      </c>
      <c r="H592" s="6" t="s">
        <v>17</v>
      </c>
      <c r="I592" s="6" t="s">
        <v>64</v>
      </c>
      <c r="J592" s="6" t="s">
        <v>1162</v>
      </c>
      <c r="K592" s="7">
        <v>43592</v>
      </c>
      <c r="L592" s="8">
        <v>0.41111111111111115</v>
      </c>
      <c r="M592" s="6" t="s">
        <v>1163</v>
      </c>
      <c r="N592" s="6" t="s">
        <v>21</v>
      </c>
      <c r="O592" s="6" t="s">
        <v>22</v>
      </c>
    </row>
    <row r="593" spans="1:15" hidden="1">
      <c r="A593" t="s">
        <v>15</v>
      </c>
      <c r="B593" t="str">
        <f>"FES1162688222"</f>
        <v>FES1162688222</v>
      </c>
      <c r="C593" s="9">
        <v>43591</v>
      </c>
      <c r="D593">
        <v>1</v>
      </c>
      <c r="E593">
        <v>2170686159</v>
      </c>
      <c r="F593" t="s">
        <v>16</v>
      </c>
      <c r="G593" t="s">
        <v>17</v>
      </c>
      <c r="H593" t="s">
        <v>43</v>
      </c>
      <c r="I593" t="s">
        <v>54</v>
      </c>
      <c r="J593" t="s">
        <v>216</v>
      </c>
      <c r="K593" s="9">
        <v>43592</v>
      </c>
      <c r="L593" s="10">
        <v>0.41666666666666669</v>
      </c>
      <c r="M593" t="s">
        <v>656</v>
      </c>
      <c r="N593" t="s">
        <v>1164</v>
      </c>
      <c r="O593" t="s">
        <v>22</v>
      </c>
    </row>
    <row r="594" spans="1:15" hidden="1">
      <c r="A594" t="s">
        <v>15</v>
      </c>
      <c r="B594" t="str">
        <f>"FES1162688237"</f>
        <v>FES1162688237</v>
      </c>
      <c r="C594" s="9">
        <v>43591</v>
      </c>
      <c r="D594">
        <v>1</v>
      </c>
      <c r="E594">
        <v>2170687058</v>
      </c>
      <c r="F594" t="s">
        <v>16</v>
      </c>
      <c r="G594" t="s">
        <v>17</v>
      </c>
      <c r="H594" t="s">
        <v>43</v>
      </c>
      <c r="I594" t="s">
        <v>44</v>
      </c>
      <c r="J594" t="s">
        <v>798</v>
      </c>
      <c r="K594" s="9">
        <v>43592</v>
      </c>
      <c r="L594" s="10">
        <v>0.41666666666666669</v>
      </c>
      <c r="M594" t="s">
        <v>799</v>
      </c>
      <c r="N594" t="s">
        <v>1165</v>
      </c>
      <c r="O594" t="s">
        <v>22</v>
      </c>
    </row>
    <row r="595" spans="1:15" hidden="1">
      <c r="A595" t="s">
        <v>15</v>
      </c>
      <c r="B595" t="str">
        <f>"FES1162688236"</f>
        <v>FES1162688236</v>
      </c>
      <c r="C595" s="9">
        <v>43591</v>
      </c>
      <c r="D595">
        <v>1</v>
      </c>
      <c r="E595">
        <v>2170687057</v>
      </c>
      <c r="F595" t="s">
        <v>16</v>
      </c>
      <c r="G595" t="s">
        <v>17</v>
      </c>
      <c r="H595" t="s">
        <v>43</v>
      </c>
      <c r="I595" t="s">
        <v>44</v>
      </c>
      <c r="J595" t="s">
        <v>336</v>
      </c>
      <c r="K595" s="9">
        <v>43592</v>
      </c>
      <c r="L595" s="10">
        <v>0.41666666666666669</v>
      </c>
      <c r="M595" t="s">
        <v>337</v>
      </c>
      <c r="N595" t="s">
        <v>1166</v>
      </c>
      <c r="O595" t="s">
        <v>22</v>
      </c>
    </row>
    <row r="596" spans="1:15" hidden="1">
      <c r="A596" t="s">
        <v>15</v>
      </c>
      <c r="B596" t="str">
        <f>"FES1162688204"</f>
        <v>FES1162688204</v>
      </c>
      <c r="C596" s="9">
        <v>43591</v>
      </c>
      <c r="D596">
        <v>1</v>
      </c>
      <c r="E596">
        <v>2170684485</v>
      </c>
      <c r="F596" t="s">
        <v>16</v>
      </c>
      <c r="G596" t="s">
        <v>17</v>
      </c>
      <c r="H596" t="s">
        <v>43</v>
      </c>
      <c r="I596" t="s">
        <v>75</v>
      </c>
      <c r="J596" t="s">
        <v>811</v>
      </c>
      <c r="K596" s="9">
        <v>43592</v>
      </c>
      <c r="L596" s="10">
        <v>0.46249999999999997</v>
      </c>
      <c r="M596" t="s">
        <v>1167</v>
      </c>
      <c r="N596" t="s">
        <v>1168</v>
      </c>
      <c r="O596" t="s">
        <v>22</v>
      </c>
    </row>
    <row r="597" spans="1:15" hidden="1">
      <c r="A597" t="s">
        <v>15</v>
      </c>
      <c r="B597" t="str">
        <f>"FES1162688209"</f>
        <v>FES1162688209</v>
      </c>
      <c r="C597" s="9">
        <v>43591</v>
      </c>
      <c r="D597">
        <v>1</v>
      </c>
      <c r="E597">
        <v>2170684837</v>
      </c>
      <c r="F597" t="s">
        <v>16</v>
      </c>
      <c r="G597" t="s">
        <v>17</v>
      </c>
      <c r="H597" t="s">
        <v>43</v>
      </c>
      <c r="I597" t="s">
        <v>807</v>
      </c>
      <c r="J597" t="s">
        <v>808</v>
      </c>
      <c r="K597" s="9">
        <v>43592</v>
      </c>
      <c r="L597" s="10">
        <v>0.53263888888888888</v>
      </c>
      <c r="M597" t="s">
        <v>1169</v>
      </c>
      <c r="N597" t="s">
        <v>1170</v>
      </c>
      <c r="O597" t="s">
        <v>22</v>
      </c>
    </row>
    <row r="598" spans="1:15" hidden="1">
      <c r="A598" t="s">
        <v>15</v>
      </c>
      <c r="B598" t="str">
        <f>"FES1162688206"</f>
        <v>FES1162688206</v>
      </c>
      <c r="C598" s="9">
        <v>43591</v>
      </c>
      <c r="D598">
        <v>2</v>
      </c>
      <c r="E598">
        <v>2170684281</v>
      </c>
      <c r="F598" t="s">
        <v>16</v>
      </c>
      <c r="G598" t="s">
        <v>17</v>
      </c>
      <c r="H598" t="s">
        <v>43</v>
      </c>
      <c r="I598" t="s">
        <v>44</v>
      </c>
      <c r="J598" t="s">
        <v>751</v>
      </c>
      <c r="K598" s="9">
        <v>43592</v>
      </c>
      <c r="L598" s="10">
        <v>0.34027777777777773</v>
      </c>
      <c r="M598" t="s">
        <v>1104</v>
      </c>
      <c r="N598" t="s">
        <v>1171</v>
      </c>
      <c r="O598" t="s">
        <v>22</v>
      </c>
    </row>
    <row r="599" spans="1:15" hidden="1">
      <c r="A599" t="s">
        <v>15</v>
      </c>
      <c r="B599" t="str">
        <f>"FES1162688287"</f>
        <v>FES1162688287</v>
      </c>
      <c r="C599" s="9">
        <v>43591</v>
      </c>
      <c r="D599">
        <v>1</v>
      </c>
      <c r="E599" t="s">
        <v>1172</v>
      </c>
      <c r="F599" t="s">
        <v>1173</v>
      </c>
      <c r="G599" t="s">
        <v>17</v>
      </c>
      <c r="H599" t="s">
        <v>32</v>
      </c>
      <c r="I599" t="s">
        <v>33</v>
      </c>
      <c r="J599" t="s">
        <v>1174</v>
      </c>
      <c r="K599" s="9">
        <v>43591</v>
      </c>
      <c r="L599" s="10">
        <v>0.80902777777777779</v>
      </c>
      <c r="M599" t="s">
        <v>1175</v>
      </c>
      <c r="N599" t="s">
        <v>1176</v>
      </c>
      <c r="O599" t="s">
        <v>1177</v>
      </c>
    </row>
    <row r="600" spans="1:15" hidden="1">
      <c r="A600" t="s">
        <v>15</v>
      </c>
      <c r="B600" t="str">
        <f>"FES1162688270"</f>
        <v>FES1162688270</v>
      </c>
      <c r="C600" s="9">
        <v>43591</v>
      </c>
      <c r="D600">
        <v>1</v>
      </c>
      <c r="E600">
        <v>2170687116</v>
      </c>
      <c r="F600" t="s">
        <v>16</v>
      </c>
      <c r="G600" t="s">
        <v>17</v>
      </c>
      <c r="H600" t="s">
        <v>141</v>
      </c>
      <c r="I600" t="s">
        <v>448</v>
      </c>
      <c r="J600" t="s">
        <v>1178</v>
      </c>
      <c r="K600" s="9">
        <v>43592</v>
      </c>
      <c r="L600" s="10">
        <v>0.40347222222222223</v>
      </c>
      <c r="M600" t="s">
        <v>1179</v>
      </c>
      <c r="N600" t="s">
        <v>1180</v>
      </c>
      <c r="O600" t="s">
        <v>22</v>
      </c>
    </row>
    <row r="601" spans="1:15" hidden="1">
      <c r="A601" t="s">
        <v>15</v>
      </c>
      <c r="B601" t="str">
        <f>"FES1162688282"</f>
        <v>FES1162688282</v>
      </c>
      <c r="C601" s="9">
        <v>43591</v>
      </c>
      <c r="D601">
        <v>1</v>
      </c>
      <c r="E601">
        <v>2170687130</v>
      </c>
      <c r="F601" t="s">
        <v>16</v>
      </c>
      <c r="G601" t="s">
        <v>17</v>
      </c>
      <c r="H601" t="s">
        <v>141</v>
      </c>
      <c r="I601" t="s">
        <v>142</v>
      </c>
      <c r="J601" t="s">
        <v>213</v>
      </c>
      <c r="K601" s="9">
        <v>43592</v>
      </c>
      <c r="L601" s="10">
        <v>0.4069444444444445</v>
      </c>
      <c r="M601" t="s">
        <v>214</v>
      </c>
      <c r="N601" t="s">
        <v>1181</v>
      </c>
      <c r="O601" t="s">
        <v>22</v>
      </c>
    </row>
    <row r="602" spans="1:15" hidden="1">
      <c r="A602" t="s">
        <v>15</v>
      </c>
      <c r="B602" t="str">
        <f>"FES1162688293"</f>
        <v>FES1162688293</v>
      </c>
      <c r="C602" s="9">
        <v>43591</v>
      </c>
      <c r="D602">
        <v>1</v>
      </c>
      <c r="E602">
        <v>217067142</v>
      </c>
      <c r="F602" t="s">
        <v>16</v>
      </c>
      <c r="G602" t="s">
        <v>17</v>
      </c>
      <c r="H602" t="s">
        <v>141</v>
      </c>
      <c r="I602" t="s">
        <v>448</v>
      </c>
      <c r="J602" t="s">
        <v>449</v>
      </c>
      <c r="K602" s="9">
        <v>43592</v>
      </c>
      <c r="L602" s="10">
        <v>0.3659722222222222</v>
      </c>
      <c r="M602" t="s">
        <v>1182</v>
      </c>
      <c r="N602" t="s">
        <v>1183</v>
      </c>
      <c r="O602" t="s">
        <v>22</v>
      </c>
    </row>
    <row r="603" spans="1:15" hidden="1">
      <c r="A603" t="s">
        <v>15</v>
      </c>
      <c r="B603" t="str">
        <f>"FES1162688246"</f>
        <v>FES1162688246</v>
      </c>
      <c r="C603" s="9">
        <v>43591</v>
      </c>
      <c r="D603">
        <v>1</v>
      </c>
      <c r="E603">
        <v>2170687070</v>
      </c>
      <c r="F603" t="s">
        <v>16</v>
      </c>
      <c r="G603" t="s">
        <v>17</v>
      </c>
      <c r="H603" t="s">
        <v>43</v>
      </c>
      <c r="I603" t="s">
        <v>54</v>
      </c>
      <c r="J603" t="s">
        <v>55</v>
      </c>
      <c r="K603" s="9">
        <v>43592</v>
      </c>
      <c r="L603" s="10">
        <v>0.41666666666666669</v>
      </c>
      <c r="M603" t="s">
        <v>729</v>
      </c>
      <c r="N603" t="s">
        <v>1184</v>
      </c>
      <c r="O603" t="s">
        <v>22</v>
      </c>
    </row>
    <row r="604" spans="1:15" hidden="1">
      <c r="A604" t="s">
        <v>15</v>
      </c>
      <c r="B604" t="str">
        <f>"FES1162688263"</f>
        <v>FES1162688263</v>
      </c>
      <c r="C604" s="9">
        <v>43591</v>
      </c>
      <c r="D604">
        <v>1</v>
      </c>
      <c r="E604">
        <v>2170687103</v>
      </c>
      <c r="F604" t="s">
        <v>16</v>
      </c>
      <c r="G604" t="s">
        <v>17</v>
      </c>
      <c r="H604" t="s">
        <v>43</v>
      </c>
      <c r="I604" t="s">
        <v>44</v>
      </c>
      <c r="J604" t="s">
        <v>48</v>
      </c>
      <c r="K604" s="9">
        <v>43592</v>
      </c>
      <c r="L604" s="10">
        <v>0.34583333333333338</v>
      </c>
      <c r="M604" t="s">
        <v>1149</v>
      </c>
      <c r="N604" t="s">
        <v>1185</v>
      </c>
      <c r="O604" t="s">
        <v>22</v>
      </c>
    </row>
    <row r="605" spans="1:15" hidden="1">
      <c r="A605" t="s">
        <v>15</v>
      </c>
      <c r="B605" t="str">
        <f>"FES1162688292"</f>
        <v>FES1162688292</v>
      </c>
      <c r="C605" s="9">
        <v>43591</v>
      </c>
      <c r="D605">
        <v>1</v>
      </c>
      <c r="E605">
        <v>2170687050</v>
      </c>
      <c r="F605" t="s">
        <v>16</v>
      </c>
      <c r="G605" t="s">
        <v>17</v>
      </c>
      <c r="H605" t="s">
        <v>141</v>
      </c>
      <c r="I605" t="s">
        <v>142</v>
      </c>
      <c r="J605" t="s">
        <v>228</v>
      </c>
      <c r="K605" s="9">
        <v>43592</v>
      </c>
      <c r="L605" s="10">
        <v>0.3833333333333333</v>
      </c>
      <c r="M605" t="s">
        <v>229</v>
      </c>
      <c r="N605" t="s">
        <v>1186</v>
      </c>
      <c r="O605" t="s">
        <v>22</v>
      </c>
    </row>
    <row r="606" spans="1:15" hidden="1">
      <c r="A606" t="s">
        <v>15</v>
      </c>
      <c r="B606" t="str">
        <f>"FES1162688269"</f>
        <v>FES1162688269</v>
      </c>
      <c r="C606" s="9">
        <v>43591</v>
      </c>
      <c r="D606">
        <v>1</v>
      </c>
      <c r="E606">
        <v>2170687114</v>
      </c>
      <c r="F606" t="s">
        <v>16</v>
      </c>
      <c r="G606" t="s">
        <v>17</v>
      </c>
      <c r="H606" t="s">
        <v>290</v>
      </c>
      <c r="I606" t="s">
        <v>291</v>
      </c>
      <c r="J606" t="s">
        <v>1187</v>
      </c>
      <c r="K606" s="9">
        <v>43592</v>
      </c>
      <c r="L606" s="10">
        <v>0.40972222222222227</v>
      </c>
      <c r="M606" t="s">
        <v>1188</v>
      </c>
      <c r="N606" t="s">
        <v>1189</v>
      </c>
      <c r="O606" t="s">
        <v>22</v>
      </c>
    </row>
    <row r="607" spans="1:15" hidden="1">
      <c r="A607" t="s">
        <v>15</v>
      </c>
      <c r="B607" t="str">
        <f>"FES1162688231"</f>
        <v>FES1162688231</v>
      </c>
      <c r="C607" s="9">
        <v>43591</v>
      </c>
      <c r="D607">
        <v>1</v>
      </c>
      <c r="E607">
        <v>2170685675</v>
      </c>
      <c r="F607" t="s">
        <v>16</v>
      </c>
      <c r="G607" t="s">
        <v>17</v>
      </c>
      <c r="H607" t="s">
        <v>290</v>
      </c>
      <c r="I607" t="s">
        <v>291</v>
      </c>
      <c r="J607" t="s">
        <v>1187</v>
      </c>
      <c r="K607" s="9">
        <v>43592</v>
      </c>
      <c r="L607" s="10">
        <v>0.40972222222222227</v>
      </c>
      <c r="M607" t="s">
        <v>1188</v>
      </c>
      <c r="N607" t="s">
        <v>1190</v>
      </c>
      <c r="O607" t="s">
        <v>22</v>
      </c>
    </row>
    <row r="608" spans="1:15">
      <c r="A608" s="6" t="s">
        <v>15</v>
      </c>
      <c r="B608" s="6" t="str">
        <f>"FES1162688289"</f>
        <v>FES1162688289</v>
      </c>
      <c r="C608" s="7">
        <v>43591</v>
      </c>
      <c r="D608" s="6">
        <v>1</v>
      </c>
      <c r="E608" s="6">
        <v>2170687141</v>
      </c>
      <c r="F608" s="6" t="s">
        <v>16</v>
      </c>
      <c r="G608" s="6" t="s">
        <v>17</v>
      </c>
      <c r="H608" s="6" t="s">
        <v>17</v>
      </c>
      <c r="I608" s="6" t="s">
        <v>64</v>
      </c>
      <c r="J608" s="6" t="s">
        <v>1191</v>
      </c>
      <c r="K608" s="7">
        <v>43592</v>
      </c>
      <c r="L608" s="8">
        <v>0.4375</v>
      </c>
      <c r="M608" s="6" t="s">
        <v>1192</v>
      </c>
      <c r="N608" s="6" t="s">
        <v>21</v>
      </c>
      <c r="O608" s="6" t="s">
        <v>22</v>
      </c>
    </row>
    <row r="609" spans="1:15" hidden="1">
      <c r="A609" t="s">
        <v>15</v>
      </c>
      <c r="B609" t="str">
        <f>"FES1162688273"</f>
        <v>FES1162688273</v>
      </c>
      <c r="C609" s="9">
        <v>43591</v>
      </c>
      <c r="D609">
        <v>1</v>
      </c>
      <c r="E609">
        <v>2170687119</v>
      </c>
      <c r="F609" t="s">
        <v>16</v>
      </c>
      <c r="G609" t="s">
        <v>17</v>
      </c>
      <c r="H609" t="s">
        <v>43</v>
      </c>
      <c r="I609" t="s">
        <v>44</v>
      </c>
      <c r="J609" t="s">
        <v>48</v>
      </c>
      <c r="K609" s="9">
        <v>43592</v>
      </c>
      <c r="L609" s="10">
        <v>0.34583333333333338</v>
      </c>
      <c r="M609" t="s">
        <v>1149</v>
      </c>
      <c r="N609" t="s">
        <v>1193</v>
      </c>
      <c r="O609" t="s">
        <v>22</v>
      </c>
    </row>
    <row r="610" spans="1:15" hidden="1">
      <c r="A610" t="s">
        <v>15</v>
      </c>
      <c r="B610" t="str">
        <f>"FES1162688280"</f>
        <v>FES1162688280</v>
      </c>
      <c r="C610" s="9">
        <v>43591</v>
      </c>
      <c r="D610">
        <v>1</v>
      </c>
      <c r="E610">
        <v>2170687128</v>
      </c>
      <c r="F610" t="s">
        <v>16</v>
      </c>
      <c r="G610" t="s">
        <v>17</v>
      </c>
      <c r="H610" t="s">
        <v>43</v>
      </c>
      <c r="I610" t="s">
        <v>44</v>
      </c>
      <c r="J610" t="s">
        <v>748</v>
      </c>
      <c r="K610" s="9">
        <v>43592</v>
      </c>
      <c r="L610" s="10">
        <v>0.41666666666666669</v>
      </c>
      <c r="M610" t="s">
        <v>1194</v>
      </c>
      <c r="N610" t="s">
        <v>1195</v>
      </c>
      <c r="O610" t="s">
        <v>22</v>
      </c>
    </row>
    <row r="611" spans="1:15" hidden="1">
      <c r="A611" t="s">
        <v>15</v>
      </c>
      <c r="B611" t="str">
        <f>"FES1162688164"</f>
        <v>FES1162688164</v>
      </c>
      <c r="C611" s="9">
        <v>43591</v>
      </c>
      <c r="D611">
        <v>1</v>
      </c>
      <c r="E611">
        <v>2170686996</v>
      </c>
      <c r="F611" t="s">
        <v>16</v>
      </c>
      <c r="G611" t="s">
        <v>17</v>
      </c>
      <c r="H611" t="s">
        <v>32</v>
      </c>
      <c r="I611" t="s">
        <v>33</v>
      </c>
      <c r="J611" t="s">
        <v>365</v>
      </c>
      <c r="K611" s="9">
        <v>43592</v>
      </c>
      <c r="L611" s="10">
        <v>0.38194444444444442</v>
      </c>
      <c r="M611" t="s">
        <v>1196</v>
      </c>
      <c r="N611" t="s">
        <v>1197</v>
      </c>
      <c r="O611" t="s">
        <v>22</v>
      </c>
    </row>
    <row r="612" spans="1:15" hidden="1">
      <c r="A612" t="s">
        <v>15</v>
      </c>
      <c r="B612" t="str">
        <f>"FES1162688182"</f>
        <v>FES1162688182</v>
      </c>
      <c r="C612" s="9">
        <v>43591</v>
      </c>
      <c r="D612">
        <v>1</v>
      </c>
      <c r="E612">
        <v>2170687020</v>
      </c>
      <c r="F612" t="s">
        <v>16</v>
      </c>
      <c r="G612" t="s">
        <v>17</v>
      </c>
      <c r="H612" t="s">
        <v>32</v>
      </c>
      <c r="I612" t="s">
        <v>1198</v>
      </c>
      <c r="J612" t="s">
        <v>1199</v>
      </c>
      <c r="K612" s="9">
        <v>43592</v>
      </c>
      <c r="L612" s="10">
        <v>0.6777777777777777</v>
      </c>
      <c r="M612" t="s">
        <v>1200</v>
      </c>
      <c r="N612" t="s">
        <v>1201</v>
      </c>
      <c r="O612" t="s">
        <v>22</v>
      </c>
    </row>
    <row r="613" spans="1:15" hidden="1">
      <c r="A613" t="s">
        <v>15</v>
      </c>
      <c r="B613" t="str">
        <f>"FES1162688191"</f>
        <v>FES1162688191</v>
      </c>
      <c r="C613" s="9">
        <v>43591</v>
      </c>
      <c r="D613">
        <v>1</v>
      </c>
      <c r="E613">
        <v>2172170687028</v>
      </c>
      <c r="F613" t="s">
        <v>16</v>
      </c>
      <c r="G613" t="s">
        <v>17</v>
      </c>
      <c r="H613" t="s">
        <v>32</v>
      </c>
      <c r="I613" t="s">
        <v>33</v>
      </c>
      <c r="J613" t="s">
        <v>786</v>
      </c>
      <c r="K613" s="9">
        <v>43592</v>
      </c>
      <c r="L613" s="10">
        <v>0.39930555555555558</v>
      </c>
      <c r="M613" t="s">
        <v>1202</v>
      </c>
      <c r="N613" t="s">
        <v>1203</v>
      </c>
      <c r="O613" t="s">
        <v>22</v>
      </c>
    </row>
    <row r="614" spans="1:15" hidden="1">
      <c r="A614" t="s">
        <v>15</v>
      </c>
      <c r="B614" t="str">
        <f>"FES1162688295"</f>
        <v>FES1162688295</v>
      </c>
      <c r="C614" s="9">
        <v>43591</v>
      </c>
      <c r="D614">
        <v>1</v>
      </c>
      <c r="E614">
        <v>2170687144</v>
      </c>
      <c r="F614" t="s">
        <v>16</v>
      </c>
      <c r="G614" t="s">
        <v>17</v>
      </c>
      <c r="H614" t="s">
        <v>37</v>
      </c>
      <c r="I614" t="s">
        <v>38</v>
      </c>
      <c r="J614" t="s">
        <v>1204</v>
      </c>
      <c r="K614" s="9">
        <v>43592</v>
      </c>
      <c r="L614" s="10">
        <v>0.3611111111111111</v>
      </c>
      <c r="M614" t="s">
        <v>1205</v>
      </c>
      <c r="N614" t="s">
        <v>1206</v>
      </c>
      <c r="O614" t="s">
        <v>22</v>
      </c>
    </row>
    <row r="615" spans="1:15" hidden="1">
      <c r="A615" t="s">
        <v>15</v>
      </c>
      <c r="B615" t="str">
        <f>"FES1162688173"</f>
        <v>FES1162688173</v>
      </c>
      <c r="C615" s="9">
        <v>43591</v>
      </c>
      <c r="D615">
        <v>1</v>
      </c>
      <c r="E615">
        <v>217087009</v>
      </c>
      <c r="F615" t="s">
        <v>16</v>
      </c>
      <c r="G615" t="s">
        <v>17</v>
      </c>
      <c r="H615" t="s">
        <v>32</v>
      </c>
      <c r="I615" t="s">
        <v>1207</v>
      </c>
      <c r="J615" t="s">
        <v>1208</v>
      </c>
      <c r="K615" s="9">
        <v>43592</v>
      </c>
      <c r="L615" s="10">
        <v>0.54166666666666663</v>
      </c>
      <c r="M615" t="s">
        <v>1209</v>
      </c>
      <c r="N615" t="s">
        <v>1210</v>
      </c>
      <c r="O615" t="s">
        <v>22</v>
      </c>
    </row>
    <row r="616" spans="1:15" hidden="1">
      <c r="A616" t="s">
        <v>15</v>
      </c>
      <c r="B616" t="str">
        <f>"FES1162688162"</f>
        <v>FES1162688162</v>
      </c>
      <c r="C616" s="9">
        <v>43591</v>
      </c>
      <c r="D616">
        <v>1</v>
      </c>
      <c r="E616">
        <v>2170686993</v>
      </c>
      <c r="F616" t="s">
        <v>16</v>
      </c>
      <c r="G616" t="s">
        <v>17</v>
      </c>
      <c r="H616" t="s">
        <v>32</v>
      </c>
      <c r="I616" t="s">
        <v>33</v>
      </c>
      <c r="J616" t="s">
        <v>34</v>
      </c>
      <c r="K616" s="9">
        <v>43592</v>
      </c>
      <c r="L616" s="10">
        <v>0.34791666666666665</v>
      </c>
      <c r="M616" t="s">
        <v>35</v>
      </c>
      <c r="N616" t="s">
        <v>1211</v>
      </c>
      <c r="O616" t="s">
        <v>22</v>
      </c>
    </row>
    <row r="617" spans="1:15" hidden="1">
      <c r="A617" t="s">
        <v>15</v>
      </c>
      <c r="B617" t="str">
        <f>"FES1162688277"</f>
        <v>FES1162688277</v>
      </c>
      <c r="C617" s="9">
        <v>43591</v>
      </c>
      <c r="D617">
        <v>1</v>
      </c>
      <c r="E617">
        <v>217067111</v>
      </c>
      <c r="F617" t="s">
        <v>16</v>
      </c>
      <c r="G617" t="s">
        <v>17</v>
      </c>
      <c r="H617" t="s">
        <v>43</v>
      </c>
      <c r="I617" t="s">
        <v>738</v>
      </c>
      <c r="J617" t="s">
        <v>339</v>
      </c>
      <c r="K617" s="9">
        <v>43592</v>
      </c>
      <c r="L617" s="10">
        <v>0.41666666666666669</v>
      </c>
      <c r="M617" t="s">
        <v>1212</v>
      </c>
      <c r="N617" t="s">
        <v>1213</v>
      </c>
      <c r="O617" t="s">
        <v>22</v>
      </c>
    </row>
    <row r="618" spans="1:15" hidden="1">
      <c r="A618" t="s">
        <v>15</v>
      </c>
      <c r="B618" t="str">
        <f>"FES1162688271"</f>
        <v>FES1162688271</v>
      </c>
      <c r="C618" s="9">
        <v>43591</v>
      </c>
      <c r="D618">
        <v>1</v>
      </c>
      <c r="E618">
        <v>217067117</v>
      </c>
      <c r="F618" t="s">
        <v>16</v>
      </c>
      <c r="G618" t="s">
        <v>17</v>
      </c>
      <c r="H618" t="s">
        <v>43</v>
      </c>
      <c r="I618" t="s">
        <v>44</v>
      </c>
      <c r="J618" t="s">
        <v>51</v>
      </c>
      <c r="K618" s="9">
        <v>43592</v>
      </c>
      <c r="L618" s="10">
        <v>0.41666666666666669</v>
      </c>
      <c r="M618" t="s">
        <v>1214</v>
      </c>
      <c r="N618" t="s">
        <v>1215</v>
      </c>
      <c r="O618" t="s">
        <v>22</v>
      </c>
    </row>
    <row r="619" spans="1:15" hidden="1">
      <c r="A619" t="s">
        <v>15</v>
      </c>
      <c r="B619" t="str">
        <f>"FES1162688190"</f>
        <v>FES1162688190</v>
      </c>
      <c r="C619" s="9">
        <v>43591</v>
      </c>
      <c r="D619">
        <v>1</v>
      </c>
      <c r="E619">
        <v>2170687027</v>
      </c>
      <c r="F619" t="s">
        <v>16</v>
      </c>
      <c r="G619" t="s">
        <v>17</v>
      </c>
      <c r="H619" t="s">
        <v>32</v>
      </c>
      <c r="I619" t="s">
        <v>33</v>
      </c>
      <c r="J619" t="s">
        <v>786</v>
      </c>
      <c r="K619" s="9">
        <v>43592</v>
      </c>
      <c r="L619" s="10">
        <v>0.39930555555555558</v>
      </c>
      <c r="M619" t="s">
        <v>1202</v>
      </c>
      <c r="N619" t="s">
        <v>1216</v>
      </c>
      <c r="O619" t="s">
        <v>22</v>
      </c>
    </row>
    <row r="620" spans="1:15" hidden="1">
      <c r="A620" t="s">
        <v>15</v>
      </c>
      <c r="B620" t="str">
        <f>"FES1162688199"</f>
        <v>FES1162688199</v>
      </c>
      <c r="C620" s="9">
        <v>43591</v>
      </c>
      <c r="D620">
        <v>1</v>
      </c>
      <c r="E620">
        <v>2170683510</v>
      </c>
      <c r="F620" t="s">
        <v>16</v>
      </c>
      <c r="G620" t="s">
        <v>17</v>
      </c>
      <c r="H620" t="s">
        <v>32</v>
      </c>
      <c r="I620" t="s">
        <v>33</v>
      </c>
      <c r="J620" t="s">
        <v>365</v>
      </c>
      <c r="K620" s="9">
        <v>43592</v>
      </c>
      <c r="L620" s="10">
        <v>0.38194444444444442</v>
      </c>
      <c r="M620" t="s">
        <v>1196</v>
      </c>
      <c r="N620" t="s">
        <v>1217</v>
      </c>
      <c r="O620" t="s">
        <v>22</v>
      </c>
    </row>
    <row r="621" spans="1:15">
      <c r="A621" s="6" t="s">
        <v>15</v>
      </c>
      <c r="B621" s="6" t="str">
        <f>"FES1162688276"</f>
        <v>FES1162688276</v>
      </c>
      <c r="C621" s="7">
        <v>43591</v>
      </c>
      <c r="D621" s="6">
        <v>1</v>
      </c>
      <c r="E621" s="6">
        <v>2170687122</v>
      </c>
      <c r="F621" s="6" t="s">
        <v>16</v>
      </c>
      <c r="G621" s="6" t="s">
        <v>17</v>
      </c>
      <c r="H621" s="6" t="s">
        <v>17</v>
      </c>
      <c r="I621" s="6" t="s">
        <v>29</v>
      </c>
      <c r="J621" s="6" t="s">
        <v>1080</v>
      </c>
      <c r="K621" s="7">
        <v>43592</v>
      </c>
      <c r="L621" s="8">
        <v>0.33333333333333331</v>
      </c>
      <c r="M621" s="6" t="s">
        <v>56</v>
      </c>
      <c r="N621" s="6" t="s">
        <v>21</v>
      </c>
      <c r="O621" s="6" t="s">
        <v>22</v>
      </c>
    </row>
    <row r="622" spans="1:15" hidden="1">
      <c r="A622" t="s">
        <v>15</v>
      </c>
      <c r="B622" t="str">
        <f>"FES1162688201"</f>
        <v>FES1162688201</v>
      </c>
      <c r="C622" s="9">
        <v>43591</v>
      </c>
      <c r="D622">
        <v>1</v>
      </c>
      <c r="E622">
        <v>2170683737</v>
      </c>
      <c r="F622" t="s">
        <v>16</v>
      </c>
      <c r="G622" t="s">
        <v>17</v>
      </c>
      <c r="H622" t="s">
        <v>32</v>
      </c>
      <c r="I622" t="s">
        <v>33</v>
      </c>
      <c r="J622" t="s">
        <v>559</v>
      </c>
      <c r="K622" s="9">
        <v>43592</v>
      </c>
      <c r="L622" s="10">
        <v>0.41666666666666669</v>
      </c>
      <c r="M622" t="s">
        <v>1218</v>
      </c>
      <c r="N622" t="s">
        <v>1219</v>
      </c>
      <c r="O622" t="s">
        <v>22</v>
      </c>
    </row>
    <row r="623" spans="1:15" hidden="1">
      <c r="A623" t="s">
        <v>15</v>
      </c>
      <c r="B623" t="str">
        <f>"FES1162688178"</f>
        <v>FES1162688178</v>
      </c>
      <c r="C623" s="9">
        <v>43591</v>
      </c>
      <c r="D623">
        <v>1</v>
      </c>
      <c r="E623">
        <v>2170687016</v>
      </c>
      <c r="F623" t="s">
        <v>16</v>
      </c>
      <c r="G623" t="s">
        <v>17</v>
      </c>
      <c r="H623" t="s">
        <v>37</v>
      </c>
      <c r="I623" t="s">
        <v>1220</v>
      </c>
      <c r="J623" t="s">
        <v>1221</v>
      </c>
      <c r="K623" s="9">
        <v>43594</v>
      </c>
      <c r="L623" s="10">
        <v>0.41666666666666669</v>
      </c>
      <c r="M623" t="s">
        <v>1222</v>
      </c>
      <c r="N623" t="s">
        <v>1223</v>
      </c>
      <c r="O623" t="s">
        <v>22</v>
      </c>
    </row>
    <row r="624" spans="1:15">
      <c r="A624" s="6" t="s">
        <v>15</v>
      </c>
      <c r="B624" s="6" t="str">
        <f>"FES1162688284"</f>
        <v>FES1162688284</v>
      </c>
      <c r="C624" s="7">
        <v>43591</v>
      </c>
      <c r="D624" s="6">
        <v>1</v>
      </c>
      <c r="E624" s="6">
        <v>2170687134</v>
      </c>
      <c r="F624" s="6" t="s">
        <v>16</v>
      </c>
      <c r="G624" s="6" t="s">
        <v>17</v>
      </c>
      <c r="H624" s="6" t="s">
        <v>17</v>
      </c>
      <c r="I624" s="6" t="s">
        <v>414</v>
      </c>
      <c r="J624" s="6" t="s">
        <v>609</v>
      </c>
      <c r="K624" s="7">
        <v>43598</v>
      </c>
      <c r="L624" s="8">
        <v>0.4375</v>
      </c>
      <c r="M624" s="6" t="s">
        <v>1224</v>
      </c>
      <c r="N624" s="6" t="s">
        <v>21</v>
      </c>
      <c r="O624" s="6" t="s">
        <v>22</v>
      </c>
    </row>
    <row r="625" spans="1:15">
      <c r="A625" s="6" t="s">
        <v>15</v>
      </c>
      <c r="B625" s="6" t="str">
        <f>"FES1162688265"</f>
        <v>FES1162688265</v>
      </c>
      <c r="C625" s="7">
        <v>43591</v>
      </c>
      <c r="D625" s="6">
        <v>1</v>
      </c>
      <c r="E625" s="6">
        <v>2170687109</v>
      </c>
      <c r="F625" s="6" t="s">
        <v>16</v>
      </c>
      <c r="G625" s="6" t="s">
        <v>17</v>
      </c>
      <c r="H625" s="6" t="s">
        <v>17</v>
      </c>
      <c r="I625" s="6" t="s">
        <v>23</v>
      </c>
      <c r="J625" s="6" t="s">
        <v>1225</v>
      </c>
      <c r="K625" s="7">
        <v>43592</v>
      </c>
      <c r="L625" s="8">
        <v>0.37083333333333335</v>
      </c>
      <c r="M625" s="6" t="s">
        <v>1226</v>
      </c>
      <c r="N625" s="6" t="s">
        <v>21</v>
      </c>
      <c r="O625" s="6" t="s">
        <v>22</v>
      </c>
    </row>
    <row r="626" spans="1:15" hidden="1">
      <c r="A626" t="s">
        <v>15</v>
      </c>
      <c r="B626" t="str">
        <f>"FES1162688268"</f>
        <v>FES1162688268</v>
      </c>
      <c r="C626" s="9">
        <v>43591</v>
      </c>
      <c r="D626">
        <v>1</v>
      </c>
      <c r="E626">
        <v>2170687113</v>
      </c>
      <c r="F626" t="s">
        <v>16</v>
      </c>
      <c r="G626" t="s">
        <v>17</v>
      </c>
      <c r="H626" t="s">
        <v>132</v>
      </c>
      <c r="I626" t="s">
        <v>133</v>
      </c>
      <c r="J626" t="s">
        <v>238</v>
      </c>
      <c r="K626" s="9">
        <v>43592</v>
      </c>
      <c r="L626" s="10">
        <v>0.35416666666666669</v>
      </c>
      <c r="M626" t="s">
        <v>1120</v>
      </c>
      <c r="N626" t="s">
        <v>1227</v>
      </c>
      <c r="O626" t="s">
        <v>22</v>
      </c>
    </row>
    <row r="627" spans="1:15" hidden="1">
      <c r="A627" t="s">
        <v>15</v>
      </c>
      <c r="B627" t="str">
        <f>"FES1162688255"</f>
        <v>FES1162688255</v>
      </c>
      <c r="C627" s="9">
        <v>43591</v>
      </c>
      <c r="D627">
        <v>1</v>
      </c>
      <c r="E627">
        <v>2170687080</v>
      </c>
      <c r="F627" t="s">
        <v>16</v>
      </c>
      <c r="G627" t="s">
        <v>17</v>
      </c>
      <c r="H627" t="s">
        <v>43</v>
      </c>
      <c r="I627" t="s">
        <v>44</v>
      </c>
      <c r="J627" t="s">
        <v>1228</v>
      </c>
      <c r="K627" s="9">
        <v>43592</v>
      </c>
      <c r="L627" s="10">
        <v>0.38611111111111113</v>
      </c>
      <c r="M627" t="s">
        <v>1229</v>
      </c>
      <c r="N627" t="s">
        <v>1230</v>
      </c>
      <c r="O627" t="s">
        <v>22</v>
      </c>
    </row>
    <row r="628" spans="1:15" hidden="1">
      <c r="A628" t="s">
        <v>15</v>
      </c>
      <c r="B628" t="str">
        <f>"FES1162688247"</f>
        <v>FES1162688247</v>
      </c>
      <c r="C628" s="9">
        <v>43591</v>
      </c>
      <c r="D628">
        <v>1</v>
      </c>
      <c r="E628">
        <v>2170687072</v>
      </c>
      <c r="F628" t="s">
        <v>16</v>
      </c>
      <c r="G628" t="s">
        <v>17</v>
      </c>
      <c r="H628" t="s">
        <v>43</v>
      </c>
      <c r="I628" t="s">
        <v>44</v>
      </c>
      <c r="J628" t="s">
        <v>742</v>
      </c>
      <c r="K628" s="9">
        <v>43592</v>
      </c>
      <c r="L628" s="10">
        <v>0.36874999999999997</v>
      </c>
      <c r="M628" t="s">
        <v>1231</v>
      </c>
      <c r="N628" t="s">
        <v>1232</v>
      </c>
      <c r="O628" t="s">
        <v>22</v>
      </c>
    </row>
    <row r="629" spans="1:15" hidden="1">
      <c r="A629" t="s">
        <v>15</v>
      </c>
      <c r="B629" t="str">
        <f>"FES1162688243"</f>
        <v>FES1162688243</v>
      </c>
      <c r="C629" s="9">
        <v>43591</v>
      </c>
      <c r="D629">
        <v>1</v>
      </c>
      <c r="E629">
        <v>2170687065</v>
      </c>
      <c r="F629" t="s">
        <v>16</v>
      </c>
      <c r="G629" t="s">
        <v>17</v>
      </c>
      <c r="H629" t="s">
        <v>43</v>
      </c>
      <c r="I629" t="s">
        <v>44</v>
      </c>
      <c r="J629" t="s">
        <v>1233</v>
      </c>
      <c r="K629" s="9">
        <v>43592</v>
      </c>
      <c r="L629" s="10">
        <v>0.41666666666666669</v>
      </c>
      <c r="M629" t="s">
        <v>1234</v>
      </c>
      <c r="N629" t="s">
        <v>1235</v>
      </c>
      <c r="O629" t="s">
        <v>22</v>
      </c>
    </row>
    <row r="630" spans="1:15" hidden="1">
      <c r="A630" t="s">
        <v>15</v>
      </c>
      <c r="B630" t="str">
        <f>"FES1162688241"</f>
        <v>FES1162688241</v>
      </c>
      <c r="C630" s="9">
        <v>43591</v>
      </c>
      <c r="D630">
        <v>1</v>
      </c>
      <c r="E630">
        <v>2170687066</v>
      </c>
      <c r="F630" t="s">
        <v>16</v>
      </c>
      <c r="G630" t="s">
        <v>17</v>
      </c>
      <c r="H630" t="s">
        <v>43</v>
      </c>
      <c r="I630" t="s">
        <v>54</v>
      </c>
      <c r="J630" t="s">
        <v>216</v>
      </c>
      <c r="K630" s="9">
        <v>43592</v>
      </c>
      <c r="L630" s="10">
        <v>0.41666666666666669</v>
      </c>
      <c r="M630" t="s">
        <v>656</v>
      </c>
      <c r="N630" t="s">
        <v>1236</v>
      </c>
      <c r="O630" t="s">
        <v>22</v>
      </c>
    </row>
    <row r="631" spans="1:15" hidden="1">
      <c r="A631" t="s">
        <v>15</v>
      </c>
      <c r="B631" t="str">
        <f>"FES1162688288"</f>
        <v>FES1162688288</v>
      </c>
      <c r="C631" s="9">
        <v>43591</v>
      </c>
      <c r="D631">
        <v>1</v>
      </c>
      <c r="E631">
        <v>2170687139</v>
      </c>
      <c r="F631" t="s">
        <v>16</v>
      </c>
      <c r="G631" t="s">
        <v>17</v>
      </c>
      <c r="H631" t="s">
        <v>43</v>
      </c>
      <c r="I631" t="s">
        <v>44</v>
      </c>
      <c r="J631" t="s">
        <v>207</v>
      </c>
      <c r="K631" s="9">
        <v>43592</v>
      </c>
      <c r="L631" s="10">
        <v>0.41666666666666669</v>
      </c>
      <c r="M631" t="s">
        <v>481</v>
      </c>
      <c r="N631" t="s">
        <v>1237</v>
      </c>
      <c r="O631" t="s">
        <v>22</v>
      </c>
    </row>
    <row r="632" spans="1:15">
      <c r="A632" s="6" t="s">
        <v>15</v>
      </c>
      <c r="B632" s="6" t="str">
        <f>"FES1162688308"</f>
        <v>FES1162688308</v>
      </c>
      <c r="C632" s="7">
        <v>43591</v>
      </c>
      <c r="D632" s="6">
        <v>1</v>
      </c>
      <c r="E632" s="6">
        <v>2170687164</v>
      </c>
      <c r="F632" s="6" t="s">
        <v>16</v>
      </c>
      <c r="G632" s="6" t="s">
        <v>17</v>
      </c>
      <c r="H632" s="6" t="s">
        <v>17</v>
      </c>
      <c r="I632" s="6" t="s">
        <v>421</v>
      </c>
      <c r="J632" s="6" t="s">
        <v>138</v>
      </c>
      <c r="K632" s="7">
        <v>43592</v>
      </c>
      <c r="L632" s="8">
        <v>0.33333333333333331</v>
      </c>
      <c r="M632" s="6" t="s">
        <v>1238</v>
      </c>
      <c r="N632" s="6" t="s">
        <v>21</v>
      </c>
      <c r="O632" s="6" t="s">
        <v>22</v>
      </c>
    </row>
    <row r="633" spans="1:15">
      <c r="A633" s="6" t="s">
        <v>15</v>
      </c>
      <c r="B633" s="6" t="str">
        <f>"FES1162688294"</f>
        <v>FES1162688294</v>
      </c>
      <c r="C633" s="7">
        <v>43591</v>
      </c>
      <c r="D633" s="6">
        <v>1</v>
      </c>
      <c r="E633" s="6">
        <v>2170687143</v>
      </c>
      <c r="F633" s="6" t="s">
        <v>16</v>
      </c>
      <c r="G633" s="6" t="s">
        <v>17</v>
      </c>
      <c r="H633" s="6" t="s">
        <v>17</v>
      </c>
      <c r="I633" s="6" t="s">
        <v>18</v>
      </c>
      <c r="J633" s="6" t="s">
        <v>1239</v>
      </c>
      <c r="K633" s="7">
        <v>43592</v>
      </c>
      <c r="L633" s="8">
        <v>0.4055555555555555</v>
      </c>
      <c r="M633" s="6" t="s">
        <v>1240</v>
      </c>
      <c r="N633" s="6" t="s">
        <v>21</v>
      </c>
      <c r="O633" s="6" t="s">
        <v>22</v>
      </c>
    </row>
    <row r="634" spans="1:15">
      <c r="A634" s="6" t="s">
        <v>15</v>
      </c>
      <c r="B634" s="6" t="str">
        <f>"FES1162688299"</f>
        <v>FES1162688299</v>
      </c>
      <c r="C634" s="7">
        <v>43591</v>
      </c>
      <c r="D634" s="6">
        <v>1</v>
      </c>
      <c r="E634" s="6">
        <v>2170687154</v>
      </c>
      <c r="F634" s="6" t="s">
        <v>16</v>
      </c>
      <c r="G634" s="6" t="s">
        <v>17</v>
      </c>
      <c r="H634" s="6" t="s">
        <v>17</v>
      </c>
      <c r="I634" s="6" t="s">
        <v>64</v>
      </c>
      <c r="J634" s="6" t="s">
        <v>1241</v>
      </c>
      <c r="K634" s="7">
        <v>43592</v>
      </c>
      <c r="L634" s="8">
        <v>0.35486111111111113</v>
      </c>
      <c r="M634" s="6" t="s">
        <v>1242</v>
      </c>
      <c r="N634" s="6" t="s">
        <v>21</v>
      </c>
      <c r="O634" s="6" t="s">
        <v>22</v>
      </c>
    </row>
    <row r="635" spans="1:15">
      <c r="A635" s="6" t="s">
        <v>15</v>
      </c>
      <c r="B635" s="6" t="str">
        <f>"FES1162688297"</f>
        <v>FES1162688297</v>
      </c>
      <c r="C635" s="7">
        <v>43591</v>
      </c>
      <c r="D635" s="6">
        <v>1</v>
      </c>
      <c r="E635" s="6">
        <v>2170687149</v>
      </c>
      <c r="F635" s="6" t="s">
        <v>16</v>
      </c>
      <c r="G635" s="6" t="s">
        <v>17</v>
      </c>
      <c r="H635" s="6" t="s">
        <v>17</v>
      </c>
      <c r="I635" s="6" t="s">
        <v>18</v>
      </c>
      <c r="J635" s="6" t="s">
        <v>19</v>
      </c>
      <c r="K635" s="7">
        <v>43592</v>
      </c>
      <c r="L635" s="8">
        <v>0.39930555555555558</v>
      </c>
      <c r="M635" s="6" t="s">
        <v>20</v>
      </c>
      <c r="N635" s="6" t="s">
        <v>21</v>
      </c>
      <c r="O635" s="6" t="s">
        <v>22</v>
      </c>
    </row>
    <row r="636" spans="1:15" hidden="1">
      <c r="A636" t="s">
        <v>15</v>
      </c>
      <c r="B636" t="str">
        <f>"FES1162688302"</f>
        <v>FES1162688302</v>
      </c>
      <c r="C636" s="9">
        <v>43591</v>
      </c>
      <c r="D636">
        <v>1</v>
      </c>
      <c r="E636">
        <v>2170687158</v>
      </c>
      <c r="F636" t="s">
        <v>16</v>
      </c>
      <c r="G636" t="s">
        <v>17</v>
      </c>
      <c r="H636" t="s">
        <v>32</v>
      </c>
      <c r="I636" t="s">
        <v>33</v>
      </c>
      <c r="J636" t="s">
        <v>1243</v>
      </c>
      <c r="K636" s="9">
        <v>43592</v>
      </c>
      <c r="L636" s="10">
        <v>0.43402777777777773</v>
      </c>
      <c r="M636" t="s">
        <v>1244</v>
      </c>
      <c r="N636" t="s">
        <v>1245</v>
      </c>
      <c r="O636" t="s">
        <v>22</v>
      </c>
    </row>
    <row r="637" spans="1:15" hidden="1">
      <c r="A637" t="s">
        <v>15</v>
      </c>
      <c r="B637" t="str">
        <f>"FES1162688180"</f>
        <v>FES1162688180</v>
      </c>
      <c r="C637" s="9">
        <v>43591</v>
      </c>
      <c r="D637">
        <v>1</v>
      </c>
      <c r="E637">
        <v>2170687018</v>
      </c>
      <c r="F637" t="s">
        <v>16</v>
      </c>
      <c r="G637" t="s">
        <v>17</v>
      </c>
      <c r="H637" t="s">
        <v>32</v>
      </c>
      <c r="I637" t="s">
        <v>33</v>
      </c>
      <c r="J637" t="s">
        <v>360</v>
      </c>
      <c r="K637" s="9">
        <v>43592</v>
      </c>
      <c r="L637" s="10">
        <v>0.35416666666666669</v>
      </c>
      <c r="M637" t="s">
        <v>361</v>
      </c>
      <c r="N637" t="s">
        <v>1246</v>
      </c>
      <c r="O637" t="s">
        <v>22</v>
      </c>
    </row>
    <row r="638" spans="1:15" hidden="1">
      <c r="A638" t="s">
        <v>15</v>
      </c>
      <c r="B638" t="str">
        <f>"FES1162688306"</f>
        <v>FES1162688306</v>
      </c>
      <c r="C638" s="9">
        <v>43591</v>
      </c>
      <c r="D638">
        <v>1</v>
      </c>
      <c r="E638">
        <v>2170687162</v>
      </c>
      <c r="F638" t="s">
        <v>16</v>
      </c>
      <c r="G638" t="s">
        <v>17</v>
      </c>
      <c r="H638" t="s">
        <v>37</v>
      </c>
      <c r="I638" t="s">
        <v>38</v>
      </c>
      <c r="J638" t="s">
        <v>766</v>
      </c>
      <c r="K638" s="9">
        <v>43592</v>
      </c>
      <c r="L638" s="10">
        <v>0.38194444444444442</v>
      </c>
      <c r="M638" t="s">
        <v>1247</v>
      </c>
      <c r="N638" t="s">
        <v>1248</v>
      </c>
      <c r="O638" t="s">
        <v>22</v>
      </c>
    </row>
    <row r="639" spans="1:15" hidden="1">
      <c r="A639" t="s">
        <v>15</v>
      </c>
      <c r="B639" t="str">
        <f>"FES1162688279"</f>
        <v>FES1162688279</v>
      </c>
      <c r="C639" s="9">
        <v>43591</v>
      </c>
      <c r="D639">
        <v>1</v>
      </c>
      <c r="E639">
        <v>2170687127</v>
      </c>
      <c r="F639" t="s">
        <v>16</v>
      </c>
      <c r="G639" t="s">
        <v>17</v>
      </c>
      <c r="H639" t="s">
        <v>141</v>
      </c>
      <c r="I639" t="s">
        <v>142</v>
      </c>
      <c r="J639" t="s">
        <v>213</v>
      </c>
      <c r="K639" s="9">
        <v>43592</v>
      </c>
      <c r="L639" s="10">
        <v>0.4069444444444445</v>
      </c>
      <c r="M639" t="s">
        <v>214</v>
      </c>
      <c r="N639" t="s">
        <v>1249</v>
      </c>
      <c r="O639" t="s">
        <v>22</v>
      </c>
    </row>
    <row r="640" spans="1:15" hidden="1">
      <c r="A640" t="s">
        <v>15</v>
      </c>
      <c r="B640" t="str">
        <f>"FES1162688298"</f>
        <v>FES1162688298</v>
      </c>
      <c r="C640" s="9">
        <v>43591</v>
      </c>
      <c r="D640">
        <v>1</v>
      </c>
      <c r="E640">
        <v>2170687151</v>
      </c>
      <c r="F640" t="s">
        <v>16</v>
      </c>
      <c r="G640" t="s">
        <v>17</v>
      </c>
      <c r="H640" t="s">
        <v>141</v>
      </c>
      <c r="I640" t="s">
        <v>185</v>
      </c>
      <c r="J640" t="s">
        <v>1250</v>
      </c>
      <c r="K640" s="9">
        <v>43592</v>
      </c>
      <c r="L640" s="10">
        <v>0.42708333333333331</v>
      </c>
      <c r="M640" t="s">
        <v>1251</v>
      </c>
      <c r="N640" t="s">
        <v>1252</v>
      </c>
      <c r="O640" t="s">
        <v>22</v>
      </c>
    </row>
    <row r="641" spans="1:15" hidden="1">
      <c r="A641" t="s">
        <v>15</v>
      </c>
      <c r="B641" t="str">
        <f>"019911311358"</f>
        <v>019911311358</v>
      </c>
      <c r="C641" s="9">
        <v>43591</v>
      </c>
      <c r="D641">
        <v>1</v>
      </c>
      <c r="E641">
        <v>1703</v>
      </c>
      <c r="F641" t="s">
        <v>58</v>
      </c>
      <c r="G641" t="s">
        <v>43</v>
      </c>
      <c r="H641" t="s">
        <v>59</v>
      </c>
      <c r="I641" t="s">
        <v>64</v>
      </c>
      <c r="J641" t="s">
        <v>1062</v>
      </c>
      <c r="K641" s="9">
        <v>43594</v>
      </c>
      <c r="L641" s="10">
        <v>0.37152777777777773</v>
      </c>
      <c r="M641" t="s">
        <v>325</v>
      </c>
      <c r="N641" t="s">
        <v>1253</v>
      </c>
      <c r="O641" t="s">
        <v>22</v>
      </c>
    </row>
    <row r="642" spans="1:15" hidden="1">
      <c r="A642" t="s">
        <v>15</v>
      </c>
      <c r="B642" t="str">
        <f>"019911311357"</f>
        <v>019911311357</v>
      </c>
      <c r="C642" s="9">
        <v>43591</v>
      </c>
      <c r="D642">
        <v>1</v>
      </c>
      <c r="E642">
        <v>1703</v>
      </c>
      <c r="F642" t="s">
        <v>58</v>
      </c>
      <c r="G642" t="s">
        <v>43</v>
      </c>
      <c r="H642" t="s">
        <v>59</v>
      </c>
      <c r="I642" t="s">
        <v>64</v>
      </c>
      <c r="J642" t="s">
        <v>1062</v>
      </c>
      <c r="K642" s="9">
        <v>43594</v>
      </c>
      <c r="L642" s="10">
        <v>0.37222222222222223</v>
      </c>
      <c r="M642" t="s">
        <v>325</v>
      </c>
      <c r="N642" t="s">
        <v>1254</v>
      </c>
      <c r="O642" t="s">
        <v>22</v>
      </c>
    </row>
    <row r="643" spans="1:15" hidden="1">
      <c r="A643" t="s">
        <v>15</v>
      </c>
      <c r="B643" t="str">
        <f>"FES1162688184"</f>
        <v>FES1162688184</v>
      </c>
      <c r="C643" s="9">
        <v>43591</v>
      </c>
      <c r="D643">
        <v>1</v>
      </c>
      <c r="E643">
        <v>2170687021</v>
      </c>
      <c r="F643" t="s">
        <v>16</v>
      </c>
      <c r="G643" t="s">
        <v>17</v>
      </c>
      <c r="H643" t="s">
        <v>32</v>
      </c>
      <c r="I643" t="s">
        <v>1198</v>
      </c>
      <c r="J643" t="s">
        <v>1199</v>
      </c>
      <c r="K643" s="9">
        <v>43592</v>
      </c>
      <c r="L643" s="10">
        <v>0.6777777777777777</v>
      </c>
      <c r="M643" t="s">
        <v>1200</v>
      </c>
      <c r="N643" t="s">
        <v>1255</v>
      </c>
      <c r="O643" t="s">
        <v>22</v>
      </c>
    </row>
    <row r="644" spans="1:15" hidden="1">
      <c r="A644" t="s">
        <v>15</v>
      </c>
      <c r="B644" t="str">
        <f>"FES1162688303"</f>
        <v>FES1162688303</v>
      </c>
      <c r="C644" s="9">
        <v>43591</v>
      </c>
      <c r="D644">
        <v>1</v>
      </c>
      <c r="E644">
        <v>2170687159</v>
      </c>
      <c r="F644" t="s">
        <v>16</v>
      </c>
      <c r="G644" t="s">
        <v>17</v>
      </c>
      <c r="H644" t="s">
        <v>32</v>
      </c>
      <c r="I644" t="s">
        <v>33</v>
      </c>
      <c r="J644" t="s">
        <v>360</v>
      </c>
      <c r="K644" s="9">
        <v>43592</v>
      </c>
      <c r="L644" s="10">
        <v>0.35416666666666669</v>
      </c>
      <c r="M644" t="s">
        <v>361</v>
      </c>
      <c r="N644" t="s">
        <v>1256</v>
      </c>
      <c r="O644" t="s">
        <v>22</v>
      </c>
    </row>
    <row r="645" spans="1:15" hidden="1">
      <c r="A645" t="s">
        <v>15</v>
      </c>
      <c r="B645" t="str">
        <f>"FES1162688117"</f>
        <v>FES1162688117</v>
      </c>
      <c r="C645" s="9">
        <v>43591</v>
      </c>
      <c r="D645">
        <v>1</v>
      </c>
      <c r="E645">
        <v>2170677672</v>
      </c>
      <c r="F645" t="s">
        <v>16</v>
      </c>
      <c r="G645" t="s">
        <v>17</v>
      </c>
      <c r="H645" t="s">
        <v>32</v>
      </c>
      <c r="I645" t="s">
        <v>33</v>
      </c>
      <c r="J645" t="s">
        <v>34</v>
      </c>
      <c r="K645" s="9">
        <v>43592</v>
      </c>
      <c r="L645" s="10">
        <v>0.34027777777777773</v>
      </c>
      <c r="M645" t="s">
        <v>35</v>
      </c>
      <c r="N645" t="s">
        <v>1257</v>
      </c>
      <c r="O645" t="s">
        <v>22</v>
      </c>
    </row>
    <row r="646" spans="1:15" hidden="1">
      <c r="A646" t="s">
        <v>15</v>
      </c>
      <c r="B646" t="str">
        <f>"FES1162688187"</f>
        <v>FES1162688187</v>
      </c>
      <c r="C646" s="9">
        <v>43591</v>
      </c>
      <c r="D646">
        <v>1</v>
      </c>
      <c r="E646">
        <v>2170682159</v>
      </c>
      <c r="F646" t="s">
        <v>16</v>
      </c>
      <c r="G646" t="s">
        <v>17</v>
      </c>
      <c r="H646" t="s">
        <v>32</v>
      </c>
      <c r="I646" t="s">
        <v>33</v>
      </c>
      <c r="J646" t="s">
        <v>34</v>
      </c>
      <c r="K646" s="9">
        <v>43592</v>
      </c>
      <c r="L646" s="10">
        <v>0.34027777777777773</v>
      </c>
      <c r="M646" t="s">
        <v>35</v>
      </c>
      <c r="N646" t="s">
        <v>1258</v>
      </c>
      <c r="O646" t="s">
        <v>22</v>
      </c>
    </row>
    <row r="647" spans="1:15" hidden="1">
      <c r="A647" t="s">
        <v>15</v>
      </c>
      <c r="B647" t="str">
        <f>"FES1162688188"</f>
        <v>FES1162688188</v>
      </c>
      <c r="C647" s="9">
        <v>43591</v>
      </c>
      <c r="D647">
        <v>1</v>
      </c>
      <c r="E647">
        <v>2170680397</v>
      </c>
      <c r="F647" t="s">
        <v>16</v>
      </c>
      <c r="G647" t="s">
        <v>17</v>
      </c>
      <c r="H647" t="s">
        <v>32</v>
      </c>
      <c r="I647" t="s">
        <v>33</v>
      </c>
      <c r="J647" t="s">
        <v>34</v>
      </c>
      <c r="K647" s="9">
        <v>43592</v>
      </c>
      <c r="L647" s="10">
        <v>0.34027777777777773</v>
      </c>
      <c r="M647" t="s">
        <v>35</v>
      </c>
      <c r="N647" t="s">
        <v>1259</v>
      </c>
      <c r="O647" t="s">
        <v>22</v>
      </c>
    </row>
    <row r="648" spans="1:15" hidden="1">
      <c r="A648" t="s">
        <v>15</v>
      </c>
      <c r="B648" t="str">
        <f>"FES1162688126"</f>
        <v>FES1162688126</v>
      </c>
      <c r="C648" s="9">
        <v>43591</v>
      </c>
      <c r="D648">
        <v>1</v>
      </c>
      <c r="E648">
        <v>2170685559</v>
      </c>
      <c r="F648" t="s">
        <v>16</v>
      </c>
      <c r="G648" t="s">
        <v>17</v>
      </c>
      <c r="H648" t="s">
        <v>141</v>
      </c>
      <c r="I648" t="s">
        <v>185</v>
      </c>
      <c r="J648" t="s">
        <v>503</v>
      </c>
      <c r="K648" s="9">
        <v>43592</v>
      </c>
      <c r="L648" s="10">
        <v>0.4069444444444445</v>
      </c>
      <c r="M648" t="s">
        <v>474</v>
      </c>
      <c r="N648" t="s">
        <v>1260</v>
      </c>
      <c r="O648" t="s">
        <v>22</v>
      </c>
    </row>
    <row r="649" spans="1:15" hidden="1">
      <c r="A649" t="s">
        <v>15</v>
      </c>
      <c r="B649" t="str">
        <f>"FES1162688152"</f>
        <v>FES1162688152</v>
      </c>
      <c r="C649" s="9">
        <v>43591</v>
      </c>
      <c r="D649">
        <v>1</v>
      </c>
      <c r="E649">
        <v>2170686973</v>
      </c>
      <c r="F649" t="s">
        <v>16</v>
      </c>
      <c r="G649" t="s">
        <v>17</v>
      </c>
      <c r="H649" t="s">
        <v>141</v>
      </c>
      <c r="I649" t="s">
        <v>448</v>
      </c>
      <c r="J649" t="s">
        <v>449</v>
      </c>
      <c r="K649" s="9">
        <v>43592</v>
      </c>
      <c r="L649" s="10">
        <v>0.3659722222222222</v>
      </c>
      <c r="M649" t="s">
        <v>1182</v>
      </c>
      <c r="N649" t="s">
        <v>1261</v>
      </c>
      <c r="O649" t="s">
        <v>22</v>
      </c>
    </row>
    <row r="650" spans="1:15" hidden="1">
      <c r="A650" t="s">
        <v>15</v>
      </c>
      <c r="B650" t="str">
        <f>"FES1162688338"</f>
        <v>FES1162688338</v>
      </c>
      <c r="C650" s="9">
        <v>43591</v>
      </c>
      <c r="D650">
        <v>1</v>
      </c>
      <c r="E650">
        <v>2170687186</v>
      </c>
      <c r="F650" t="s">
        <v>16</v>
      </c>
      <c r="G650" t="s">
        <v>17</v>
      </c>
      <c r="H650" t="s">
        <v>43</v>
      </c>
      <c r="I650" t="s">
        <v>60</v>
      </c>
      <c r="J650" t="s">
        <v>242</v>
      </c>
      <c r="K650" s="9">
        <v>43592</v>
      </c>
      <c r="L650" s="10">
        <v>0.625</v>
      </c>
      <c r="M650" t="s">
        <v>1262</v>
      </c>
      <c r="N650" t="s">
        <v>1263</v>
      </c>
      <c r="O650" t="s">
        <v>22</v>
      </c>
    </row>
    <row r="651" spans="1:15">
      <c r="A651" s="6" t="s">
        <v>15</v>
      </c>
      <c r="B651" s="6" t="str">
        <f>"FES1162688318"</f>
        <v>FES1162688318</v>
      </c>
      <c r="C651" s="7">
        <v>43591</v>
      </c>
      <c r="D651" s="6">
        <v>1</v>
      </c>
      <c r="E651" s="6">
        <v>2170684385</v>
      </c>
      <c r="F651" s="6" t="s">
        <v>16</v>
      </c>
      <c r="G651" s="6" t="s">
        <v>17</v>
      </c>
      <c r="H651" s="6" t="s">
        <v>17</v>
      </c>
      <c r="I651" s="6" t="s">
        <v>148</v>
      </c>
      <c r="J651" s="6" t="s">
        <v>153</v>
      </c>
      <c r="K651" s="7">
        <v>43592</v>
      </c>
      <c r="L651" s="8">
        <v>0.60416666666666663</v>
      </c>
      <c r="M651" s="6" t="s">
        <v>1264</v>
      </c>
      <c r="N651" s="6" t="s">
        <v>21</v>
      </c>
      <c r="O651" s="6" t="s">
        <v>22</v>
      </c>
    </row>
    <row r="652" spans="1:15" hidden="1">
      <c r="A652" t="s">
        <v>15</v>
      </c>
      <c r="B652" t="str">
        <f>"FES1162688321"</f>
        <v>FES1162688321</v>
      </c>
      <c r="C652" s="9">
        <v>43591</v>
      </c>
      <c r="D652">
        <v>1</v>
      </c>
      <c r="E652">
        <v>2170685989</v>
      </c>
      <c r="F652" t="s">
        <v>16</v>
      </c>
      <c r="G652" t="s">
        <v>17</v>
      </c>
      <c r="H652" t="s">
        <v>43</v>
      </c>
      <c r="I652" t="s">
        <v>44</v>
      </c>
      <c r="J652" t="s">
        <v>207</v>
      </c>
      <c r="K652" s="9">
        <v>43592</v>
      </c>
      <c r="L652" s="10">
        <v>0.41666666666666669</v>
      </c>
      <c r="M652" t="s">
        <v>1265</v>
      </c>
      <c r="N652" t="s">
        <v>1266</v>
      </c>
      <c r="O652" t="s">
        <v>22</v>
      </c>
    </row>
    <row r="653" spans="1:15" hidden="1">
      <c r="A653" t="s">
        <v>15</v>
      </c>
      <c r="B653" t="str">
        <f>"FES1162688304"</f>
        <v>FES1162688304</v>
      </c>
      <c r="C653" s="9">
        <v>43591</v>
      </c>
      <c r="D653">
        <v>1</v>
      </c>
      <c r="E653">
        <v>217067160</v>
      </c>
      <c r="F653" t="s">
        <v>16</v>
      </c>
      <c r="G653" t="s">
        <v>17</v>
      </c>
      <c r="H653" t="s">
        <v>141</v>
      </c>
      <c r="I653" t="s">
        <v>185</v>
      </c>
      <c r="J653" t="s">
        <v>515</v>
      </c>
      <c r="K653" s="9">
        <v>43592</v>
      </c>
      <c r="L653" s="10">
        <v>0.38125000000000003</v>
      </c>
      <c r="M653" t="s">
        <v>896</v>
      </c>
      <c r="N653" t="s">
        <v>1267</v>
      </c>
      <c r="O653" t="s">
        <v>22</v>
      </c>
    </row>
    <row r="654" spans="1:15" hidden="1">
      <c r="A654" t="s">
        <v>15</v>
      </c>
      <c r="B654" t="str">
        <f>"FES1162688309"</f>
        <v>FES1162688309</v>
      </c>
      <c r="C654" s="9">
        <v>43591</v>
      </c>
      <c r="D654">
        <v>1</v>
      </c>
      <c r="E654">
        <v>2170687167</v>
      </c>
      <c r="F654" t="s">
        <v>16</v>
      </c>
      <c r="G654" t="s">
        <v>17</v>
      </c>
      <c r="H654" t="s">
        <v>132</v>
      </c>
      <c r="I654" t="s">
        <v>137</v>
      </c>
      <c r="J654" t="s">
        <v>1268</v>
      </c>
      <c r="K654" s="9">
        <v>43592</v>
      </c>
      <c r="L654" s="10">
        <v>0.49791666666666662</v>
      </c>
      <c r="M654" t="s">
        <v>1269</v>
      </c>
      <c r="N654" t="s">
        <v>1270</v>
      </c>
      <c r="O654" t="s">
        <v>22</v>
      </c>
    </row>
    <row r="655" spans="1:15" hidden="1">
      <c r="A655" t="s">
        <v>15</v>
      </c>
      <c r="B655" t="str">
        <f>"FES1162688312"</f>
        <v>FES1162688312</v>
      </c>
      <c r="C655" s="9">
        <v>43591</v>
      </c>
      <c r="D655">
        <v>1</v>
      </c>
      <c r="E655">
        <v>2170687170</v>
      </c>
      <c r="F655" t="s">
        <v>16</v>
      </c>
      <c r="G655" t="s">
        <v>17</v>
      </c>
      <c r="H655" t="s">
        <v>32</v>
      </c>
      <c r="I655" t="s">
        <v>33</v>
      </c>
      <c r="J655" t="s">
        <v>790</v>
      </c>
      <c r="K655" s="9">
        <v>43592</v>
      </c>
      <c r="L655" s="10">
        <v>0.41666666666666669</v>
      </c>
      <c r="M655" t="s">
        <v>791</v>
      </c>
      <c r="N655" t="s">
        <v>1271</v>
      </c>
      <c r="O655" t="s">
        <v>22</v>
      </c>
    </row>
    <row r="656" spans="1:15" hidden="1">
      <c r="A656" t="s">
        <v>15</v>
      </c>
      <c r="B656" t="str">
        <f>"FES1162688330"</f>
        <v>FES1162688330</v>
      </c>
      <c r="C656" s="9">
        <v>43591</v>
      </c>
      <c r="D656">
        <v>1</v>
      </c>
      <c r="E656">
        <v>2170687177</v>
      </c>
      <c r="F656" t="s">
        <v>16</v>
      </c>
      <c r="G656" t="s">
        <v>17</v>
      </c>
      <c r="H656" t="s">
        <v>141</v>
      </c>
      <c r="I656" t="s">
        <v>185</v>
      </c>
      <c r="J656" t="s">
        <v>353</v>
      </c>
      <c r="K656" s="9">
        <v>43592</v>
      </c>
      <c r="L656" s="10">
        <v>0.42291666666666666</v>
      </c>
      <c r="M656" t="s">
        <v>1272</v>
      </c>
      <c r="N656" t="s">
        <v>1273</v>
      </c>
      <c r="O656" t="s">
        <v>22</v>
      </c>
    </row>
    <row r="657" spans="1:15" hidden="1">
      <c r="A657" t="s">
        <v>15</v>
      </c>
      <c r="B657" t="str">
        <f>"FES1162688332"</f>
        <v>FES1162688332</v>
      </c>
      <c r="C657" s="9">
        <v>43591</v>
      </c>
      <c r="D657">
        <v>1</v>
      </c>
      <c r="E657">
        <v>2170687185</v>
      </c>
      <c r="F657" t="s">
        <v>16</v>
      </c>
      <c r="G657" t="s">
        <v>17</v>
      </c>
      <c r="H657" t="s">
        <v>141</v>
      </c>
      <c r="I657" t="s">
        <v>142</v>
      </c>
      <c r="J657" t="s">
        <v>213</v>
      </c>
      <c r="K657" s="9">
        <v>43592</v>
      </c>
      <c r="L657" s="10">
        <v>0.4069444444444445</v>
      </c>
      <c r="M657" t="s">
        <v>214</v>
      </c>
      <c r="N657" t="s">
        <v>1274</v>
      </c>
      <c r="O657" t="s">
        <v>22</v>
      </c>
    </row>
    <row r="658" spans="1:15" hidden="1">
      <c r="A658" t="s">
        <v>15</v>
      </c>
      <c r="B658" t="str">
        <f>"FES1162688344"</f>
        <v>FES1162688344</v>
      </c>
      <c r="C658" s="9">
        <v>43591</v>
      </c>
      <c r="D658">
        <v>1</v>
      </c>
      <c r="E658">
        <v>2170687190</v>
      </c>
      <c r="F658" t="s">
        <v>16</v>
      </c>
      <c r="G658" t="s">
        <v>17</v>
      </c>
      <c r="H658" t="s">
        <v>43</v>
      </c>
      <c r="I658" t="s">
        <v>44</v>
      </c>
      <c r="J658" t="s">
        <v>860</v>
      </c>
      <c r="K658" s="9">
        <v>43592</v>
      </c>
      <c r="L658" s="10">
        <v>0.41666666666666669</v>
      </c>
      <c r="M658" t="s">
        <v>1275</v>
      </c>
      <c r="N658" t="s">
        <v>1276</v>
      </c>
      <c r="O658" t="s">
        <v>22</v>
      </c>
    </row>
    <row r="659" spans="1:15">
      <c r="A659" s="6" t="s">
        <v>15</v>
      </c>
      <c r="B659" s="6" t="str">
        <f>"FES1162688343"</f>
        <v>FES1162688343</v>
      </c>
      <c r="C659" s="7">
        <v>43591</v>
      </c>
      <c r="D659" s="6">
        <v>1</v>
      </c>
      <c r="E659" s="6">
        <v>2170687189</v>
      </c>
      <c r="F659" s="6" t="s">
        <v>16</v>
      </c>
      <c r="G659" s="6" t="s">
        <v>17</v>
      </c>
      <c r="H659" s="6" t="s">
        <v>17</v>
      </c>
      <c r="I659" s="6" t="s">
        <v>29</v>
      </c>
      <c r="J659" s="6" t="s">
        <v>109</v>
      </c>
      <c r="K659" s="7">
        <v>43592</v>
      </c>
      <c r="L659" s="8">
        <v>0.43055555555555558</v>
      </c>
      <c r="M659" s="6" t="s">
        <v>1277</v>
      </c>
      <c r="N659" s="6" t="s">
        <v>21</v>
      </c>
      <c r="O659" s="6" t="s">
        <v>22</v>
      </c>
    </row>
    <row r="660" spans="1:15">
      <c r="A660" s="6" t="s">
        <v>15</v>
      </c>
      <c r="B660" s="6" t="str">
        <f>"FES1162688349"</f>
        <v>FES1162688349</v>
      </c>
      <c r="C660" s="7">
        <v>43591</v>
      </c>
      <c r="D660" s="6">
        <v>1</v>
      </c>
      <c r="E660" s="6">
        <v>2170687195</v>
      </c>
      <c r="F660" s="6" t="s">
        <v>16</v>
      </c>
      <c r="G660" s="6" t="s">
        <v>17</v>
      </c>
      <c r="H660" s="6" t="s">
        <v>17</v>
      </c>
      <c r="I660" s="6" t="s">
        <v>103</v>
      </c>
      <c r="J660" s="6" t="s">
        <v>1278</v>
      </c>
      <c r="K660" s="7">
        <v>43592</v>
      </c>
      <c r="L660" s="8">
        <v>0.32361111111111113</v>
      </c>
      <c r="M660" s="6" t="s">
        <v>1279</v>
      </c>
      <c r="N660" s="6" t="s">
        <v>21</v>
      </c>
      <c r="O660" s="6" t="s">
        <v>22</v>
      </c>
    </row>
    <row r="661" spans="1:15" hidden="1">
      <c r="A661" t="s">
        <v>15</v>
      </c>
      <c r="B661" t="str">
        <f>"FES1162688290"</f>
        <v>FES1162688290</v>
      </c>
      <c r="C661" s="9">
        <v>43591</v>
      </c>
      <c r="D661">
        <v>1</v>
      </c>
      <c r="E661">
        <v>2170684943</v>
      </c>
      <c r="F661" t="s">
        <v>16</v>
      </c>
      <c r="G661" t="s">
        <v>17</v>
      </c>
      <c r="H661" t="s">
        <v>43</v>
      </c>
      <c r="I661" t="s">
        <v>75</v>
      </c>
      <c r="J661" t="s">
        <v>76</v>
      </c>
      <c r="K661" s="9">
        <v>43592</v>
      </c>
      <c r="L661" s="10">
        <v>0.3527777777777778</v>
      </c>
      <c r="M661" t="s">
        <v>77</v>
      </c>
      <c r="N661" t="s">
        <v>1280</v>
      </c>
      <c r="O661" t="s">
        <v>22</v>
      </c>
    </row>
    <row r="662" spans="1:15" hidden="1">
      <c r="A662" t="s">
        <v>15</v>
      </c>
      <c r="B662" t="str">
        <f>"FES1162687910"</f>
        <v>FES1162687910</v>
      </c>
      <c r="C662" s="9">
        <v>43591</v>
      </c>
      <c r="D662">
        <v>1</v>
      </c>
      <c r="E662">
        <v>2170684199</v>
      </c>
      <c r="F662" t="s">
        <v>16</v>
      </c>
      <c r="G662" t="s">
        <v>17</v>
      </c>
      <c r="H662" t="s">
        <v>290</v>
      </c>
      <c r="I662" t="s">
        <v>309</v>
      </c>
      <c r="J662" t="s">
        <v>310</v>
      </c>
      <c r="K662" s="9">
        <v>43592</v>
      </c>
      <c r="L662" s="10">
        <v>0.42708333333333331</v>
      </c>
      <c r="M662" t="s">
        <v>1281</v>
      </c>
      <c r="N662" t="s">
        <v>1282</v>
      </c>
      <c r="O662" t="s">
        <v>22</v>
      </c>
    </row>
    <row r="663" spans="1:15" hidden="1">
      <c r="A663" t="s">
        <v>15</v>
      </c>
      <c r="B663" t="str">
        <f>"FES1162688347"</f>
        <v>FES1162688347</v>
      </c>
      <c r="C663" s="9">
        <v>43591</v>
      </c>
      <c r="D663">
        <v>1</v>
      </c>
      <c r="E663">
        <v>217067193</v>
      </c>
      <c r="F663" t="s">
        <v>16</v>
      </c>
      <c r="G663" t="s">
        <v>17</v>
      </c>
      <c r="H663" t="s">
        <v>32</v>
      </c>
      <c r="I663" t="s">
        <v>33</v>
      </c>
      <c r="J663" t="s">
        <v>790</v>
      </c>
      <c r="K663" s="9">
        <v>43592</v>
      </c>
      <c r="L663" s="10">
        <v>0.42638888888888887</v>
      </c>
      <c r="M663" t="s">
        <v>791</v>
      </c>
      <c r="N663" t="s">
        <v>1283</v>
      </c>
      <c r="O663" t="s">
        <v>22</v>
      </c>
    </row>
    <row r="664" spans="1:15" hidden="1">
      <c r="A664" t="s">
        <v>15</v>
      </c>
      <c r="B664" t="str">
        <f>"FES1162688348"</f>
        <v>FES1162688348</v>
      </c>
      <c r="C664" s="9">
        <v>43591</v>
      </c>
      <c r="D664">
        <v>1</v>
      </c>
      <c r="E664">
        <v>2170687194</v>
      </c>
      <c r="F664" t="s">
        <v>16</v>
      </c>
      <c r="G664" t="s">
        <v>17</v>
      </c>
      <c r="H664" t="s">
        <v>43</v>
      </c>
      <c r="I664" t="s">
        <v>44</v>
      </c>
      <c r="J664" t="s">
        <v>1284</v>
      </c>
      <c r="K664" s="9">
        <v>43592</v>
      </c>
      <c r="L664" s="10">
        <v>0.38958333333333334</v>
      </c>
      <c r="M664" t="s">
        <v>1285</v>
      </c>
      <c r="N664" t="s">
        <v>1286</v>
      </c>
      <c r="O664" t="s">
        <v>22</v>
      </c>
    </row>
    <row r="665" spans="1:15" hidden="1">
      <c r="A665" t="s">
        <v>15</v>
      </c>
      <c r="B665" t="str">
        <f>"FES1162688291"</f>
        <v>FES1162688291</v>
      </c>
      <c r="C665" s="9">
        <v>43591</v>
      </c>
      <c r="D665">
        <v>2</v>
      </c>
      <c r="E665">
        <v>2170687001</v>
      </c>
      <c r="F665" t="s">
        <v>58</v>
      </c>
      <c r="G665" t="s">
        <v>59</v>
      </c>
      <c r="H665" t="s">
        <v>141</v>
      </c>
      <c r="I665" t="s">
        <v>448</v>
      </c>
      <c r="J665" t="s">
        <v>449</v>
      </c>
      <c r="K665" s="9">
        <v>43592</v>
      </c>
      <c r="L665" s="10">
        <v>0.3659722222222222</v>
      </c>
      <c r="M665" t="s">
        <v>1182</v>
      </c>
      <c r="N665" t="s">
        <v>1287</v>
      </c>
      <c r="O665" t="s">
        <v>22</v>
      </c>
    </row>
    <row r="666" spans="1:15" hidden="1">
      <c r="A666" t="s">
        <v>15</v>
      </c>
      <c r="B666" t="str">
        <f>"FES1162688224"</f>
        <v>FES1162688224</v>
      </c>
      <c r="C666" s="9">
        <v>43591</v>
      </c>
      <c r="D666">
        <v>3</v>
      </c>
      <c r="E666">
        <v>2170687040</v>
      </c>
      <c r="F666" t="s">
        <v>58</v>
      </c>
      <c r="G666" t="s">
        <v>59</v>
      </c>
      <c r="H666" t="s">
        <v>141</v>
      </c>
      <c r="I666" t="s">
        <v>142</v>
      </c>
      <c r="J666" t="s">
        <v>195</v>
      </c>
      <c r="K666" s="9">
        <v>43592</v>
      </c>
      <c r="L666" s="10">
        <v>0.4375</v>
      </c>
      <c r="M666" t="s">
        <v>1288</v>
      </c>
      <c r="N666" t="s">
        <v>1289</v>
      </c>
      <c r="O666" t="s">
        <v>22</v>
      </c>
    </row>
    <row r="667" spans="1:15" hidden="1">
      <c r="A667" t="s">
        <v>15</v>
      </c>
      <c r="B667" t="str">
        <f>"FES1162688339"</f>
        <v>FES1162688339</v>
      </c>
      <c r="C667" s="9">
        <v>43591</v>
      </c>
      <c r="D667">
        <v>1</v>
      </c>
      <c r="E667">
        <v>2170687188</v>
      </c>
      <c r="F667" t="s">
        <v>16</v>
      </c>
      <c r="G667" t="s">
        <v>17</v>
      </c>
      <c r="H667" t="s">
        <v>141</v>
      </c>
      <c r="I667" t="s">
        <v>185</v>
      </c>
      <c r="J667" t="s">
        <v>1011</v>
      </c>
      <c r="K667" s="9">
        <v>43592</v>
      </c>
      <c r="L667" s="10">
        <v>0.3611111111111111</v>
      </c>
      <c r="M667" t="s">
        <v>1012</v>
      </c>
      <c r="N667" t="s">
        <v>1290</v>
      </c>
      <c r="O667" t="s">
        <v>22</v>
      </c>
    </row>
    <row r="668" spans="1:15" hidden="1">
      <c r="A668" t="s">
        <v>15</v>
      </c>
      <c r="B668" t="str">
        <f>"FES1162688354"</f>
        <v>FES1162688354</v>
      </c>
      <c r="C668" s="9">
        <v>43591</v>
      </c>
      <c r="D668">
        <v>1</v>
      </c>
      <c r="E668">
        <v>2170687223</v>
      </c>
      <c r="F668" t="s">
        <v>16</v>
      </c>
      <c r="G668" t="s">
        <v>17</v>
      </c>
      <c r="H668" t="s">
        <v>290</v>
      </c>
      <c r="I668" t="s">
        <v>291</v>
      </c>
      <c r="J668" t="s">
        <v>297</v>
      </c>
      <c r="K668" s="9">
        <v>43592</v>
      </c>
      <c r="L668" s="10">
        <v>0.3444444444444445</v>
      </c>
      <c r="M668" t="s">
        <v>1291</v>
      </c>
      <c r="N668" t="s">
        <v>1292</v>
      </c>
      <c r="O668" t="s">
        <v>22</v>
      </c>
    </row>
    <row r="669" spans="1:15" hidden="1">
      <c r="A669" t="s">
        <v>15</v>
      </c>
      <c r="B669" t="str">
        <f>"FES1162688149"</f>
        <v>FES1162688149</v>
      </c>
      <c r="C669" s="9">
        <v>43591</v>
      </c>
      <c r="D669">
        <v>1</v>
      </c>
      <c r="E669">
        <v>2170685696</v>
      </c>
      <c r="F669" t="s">
        <v>16</v>
      </c>
      <c r="G669" t="s">
        <v>17</v>
      </c>
      <c r="H669" t="s">
        <v>290</v>
      </c>
      <c r="I669" t="s">
        <v>291</v>
      </c>
      <c r="J669" t="s">
        <v>1293</v>
      </c>
      <c r="K669" s="9">
        <v>43592</v>
      </c>
      <c r="L669" s="10">
        <v>0.38194444444444442</v>
      </c>
      <c r="M669" t="s">
        <v>481</v>
      </c>
      <c r="N669" t="s">
        <v>1294</v>
      </c>
      <c r="O669" t="s">
        <v>22</v>
      </c>
    </row>
    <row r="670" spans="1:15" hidden="1">
      <c r="A670" t="s">
        <v>15</v>
      </c>
      <c r="B670" t="str">
        <f>"FES1162688322"</f>
        <v>FES1162688322</v>
      </c>
      <c r="C670" s="9">
        <v>43591</v>
      </c>
      <c r="D670">
        <v>1</v>
      </c>
      <c r="E670">
        <v>217686045</v>
      </c>
      <c r="F670" t="s">
        <v>16</v>
      </c>
      <c r="G670" t="s">
        <v>17</v>
      </c>
      <c r="H670" t="s">
        <v>32</v>
      </c>
      <c r="I670" t="s">
        <v>269</v>
      </c>
      <c r="J670" t="s">
        <v>683</v>
      </c>
      <c r="K670" s="9">
        <v>43592</v>
      </c>
      <c r="L670" s="10">
        <v>0.35416666666666669</v>
      </c>
      <c r="M670" t="s">
        <v>684</v>
      </c>
      <c r="N670" t="s">
        <v>1295</v>
      </c>
      <c r="O670" t="s">
        <v>22</v>
      </c>
    </row>
    <row r="671" spans="1:15" hidden="1">
      <c r="A671" t="s">
        <v>15</v>
      </c>
      <c r="B671" t="str">
        <f>"FES1162688301"</f>
        <v>FES1162688301</v>
      </c>
      <c r="C671" s="9">
        <v>43591</v>
      </c>
      <c r="D671">
        <v>1</v>
      </c>
      <c r="E671">
        <v>2170687156</v>
      </c>
      <c r="F671" t="s">
        <v>16</v>
      </c>
      <c r="G671" t="s">
        <v>17</v>
      </c>
      <c r="H671" t="s">
        <v>141</v>
      </c>
      <c r="I671" t="s">
        <v>142</v>
      </c>
      <c r="J671" t="s">
        <v>1296</v>
      </c>
      <c r="K671" s="9">
        <v>43592</v>
      </c>
      <c r="L671" s="10">
        <v>0.41319444444444442</v>
      </c>
      <c r="M671" t="s">
        <v>1297</v>
      </c>
      <c r="N671" t="s">
        <v>1298</v>
      </c>
      <c r="O671" t="s">
        <v>22</v>
      </c>
    </row>
    <row r="672" spans="1:15" hidden="1">
      <c r="A672" t="s">
        <v>15</v>
      </c>
      <c r="B672" t="str">
        <f>"FES1162688103"</f>
        <v>FES1162688103</v>
      </c>
      <c r="C672" s="9">
        <v>43591</v>
      </c>
      <c r="D672">
        <v>1</v>
      </c>
      <c r="E672">
        <v>2170686944</v>
      </c>
      <c r="F672" t="s">
        <v>16</v>
      </c>
      <c r="G672" t="s">
        <v>17</v>
      </c>
      <c r="H672" t="s">
        <v>141</v>
      </c>
      <c r="I672" t="s">
        <v>185</v>
      </c>
      <c r="J672" t="s">
        <v>210</v>
      </c>
      <c r="K672" s="9">
        <v>43592</v>
      </c>
      <c r="L672" s="10">
        <v>0.41666666666666669</v>
      </c>
      <c r="M672" t="s">
        <v>1299</v>
      </c>
      <c r="N672" t="s">
        <v>1300</v>
      </c>
      <c r="O672" t="s">
        <v>22</v>
      </c>
    </row>
    <row r="673" spans="1:15" hidden="1">
      <c r="A673" t="s">
        <v>15</v>
      </c>
      <c r="B673" t="str">
        <f>"FES1162688134"</f>
        <v>FES1162688134</v>
      </c>
      <c r="C673" s="9">
        <v>43591</v>
      </c>
      <c r="D673">
        <v>1</v>
      </c>
      <c r="E673">
        <v>2170686352</v>
      </c>
      <c r="F673" t="s">
        <v>16</v>
      </c>
      <c r="G673" t="s">
        <v>17</v>
      </c>
      <c r="H673" t="s">
        <v>290</v>
      </c>
      <c r="I673" t="s">
        <v>309</v>
      </c>
      <c r="J673" t="s">
        <v>1301</v>
      </c>
      <c r="K673" s="9">
        <v>43594</v>
      </c>
      <c r="L673" s="10">
        <v>0.41666666666666669</v>
      </c>
      <c r="M673" t="s">
        <v>1302</v>
      </c>
      <c r="N673" t="s">
        <v>1303</v>
      </c>
      <c r="O673" t="s">
        <v>22</v>
      </c>
    </row>
    <row r="674" spans="1:15" hidden="1">
      <c r="A674" t="s">
        <v>15</v>
      </c>
      <c r="B674" t="str">
        <f>"FES1162688325"</f>
        <v>FES1162688325</v>
      </c>
      <c r="C674" s="9">
        <v>43591</v>
      </c>
      <c r="D674">
        <v>1</v>
      </c>
      <c r="E674">
        <v>2170686824</v>
      </c>
      <c r="F674" t="s">
        <v>16</v>
      </c>
      <c r="G674" t="s">
        <v>17</v>
      </c>
      <c r="H674" t="s">
        <v>32</v>
      </c>
      <c r="I674" t="s">
        <v>33</v>
      </c>
      <c r="J674" t="s">
        <v>790</v>
      </c>
      <c r="K674" s="9">
        <v>43592</v>
      </c>
      <c r="L674" s="10">
        <v>0.41666666666666669</v>
      </c>
      <c r="M674" t="s">
        <v>791</v>
      </c>
      <c r="N674" t="s">
        <v>1304</v>
      </c>
      <c r="O674" t="s">
        <v>22</v>
      </c>
    </row>
    <row r="675" spans="1:15" hidden="1">
      <c r="A675" t="s">
        <v>15</v>
      </c>
      <c r="B675" t="str">
        <f>"FES1162688305"</f>
        <v>FES1162688305</v>
      </c>
      <c r="C675" s="9">
        <v>43591</v>
      </c>
      <c r="D675">
        <v>1</v>
      </c>
      <c r="E675">
        <v>2170687161</v>
      </c>
      <c r="F675" t="s">
        <v>16</v>
      </c>
      <c r="G675" t="s">
        <v>17</v>
      </c>
      <c r="H675" t="s">
        <v>141</v>
      </c>
      <c r="I675" t="s">
        <v>185</v>
      </c>
      <c r="J675" t="s">
        <v>186</v>
      </c>
      <c r="K675" s="9">
        <v>43592</v>
      </c>
      <c r="L675" s="10">
        <v>0.42499999999999999</v>
      </c>
      <c r="M675" t="s">
        <v>1305</v>
      </c>
      <c r="N675" t="s">
        <v>1306</v>
      </c>
      <c r="O675" t="s">
        <v>22</v>
      </c>
    </row>
    <row r="676" spans="1:15" hidden="1">
      <c r="A676" t="s">
        <v>15</v>
      </c>
      <c r="B676" t="str">
        <f>"FES1162688327"</f>
        <v>FES1162688327</v>
      </c>
      <c r="C676" s="9">
        <v>43591</v>
      </c>
      <c r="D676">
        <v>1</v>
      </c>
      <c r="E676">
        <v>2170686913</v>
      </c>
      <c r="F676" t="s">
        <v>16</v>
      </c>
      <c r="G676" t="s">
        <v>17</v>
      </c>
      <c r="H676" t="s">
        <v>59</v>
      </c>
      <c r="I676" t="s">
        <v>64</v>
      </c>
      <c r="J676" t="s">
        <v>878</v>
      </c>
      <c r="K676" s="9">
        <v>43592</v>
      </c>
      <c r="L676" s="10">
        <v>0.33333333333333331</v>
      </c>
      <c r="M676" t="s">
        <v>1307</v>
      </c>
      <c r="N676" t="s">
        <v>1308</v>
      </c>
      <c r="O676" t="s">
        <v>22</v>
      </c>
    </row>
    <row r="677" spans="1:15" hidden="1">
      <c r="A677" t="s">
        <v>15</v>
      </c>
      <c r="B677" t="str">
        <f>"FES1162688320"</f>
        <v>FES1162688320</v>
      </c>
      <c r="C677" s="9">
        <v>43591</v>
      </c>
      <c r="D677">
        <v>1</v>
      </c>
      <c r="E677">
        <v>2170685960</v>
      </c>
      <c r="F677" t="s">
        <v>16</v>
      </c>
      <c r="G677" t="s">
        <v>17</v>
      </c>
      <c r="H677" t="s">
        <v>32</v>
      </c>
      <c r="I677" t="s">
        <v>269</v>
      </c>
      <c r="J677" t="s">
        <v>683</v>
      </c>
      <c r="K677" s="9">
        <v>43592</v>
      </c>
      <c r="L677" s="10">
        <v>0.35416666666666669</v>
      </c>
      <c r="M677" t="s">
        <v>684</v>
      </c>
      <c r="N677" t="s">
        <v>1309</v>
      </c>
      <c r="O677" t="s">
        <v>22</v>
      </c>
    </row>
    <row r="678" spans="1:15" hidden="1">
      <c r="A678" t="s">
        <v>15</v>
      </c>
      <c r="B678" t="str">
        <f>"FES1162688133"</f>
        <v>FES1162688133</v>
      </c>
      <c r="C678" s="9">
        <v>43591</v>
      </c>
      <c r="D678">
        <v>1</v>
      </c>
      <c r="E678">
        <v>2170686170</v>
      </c>
      <c r="F678" t="s">
        <v>16</v>
      </c>
      <c r="G678" t="s">
        <v>17</v>
      </c>
      <c r="H678" t="s">
        <v>300</v>
      </c>
      <c r="I678" t="s">
        <v>301</v>
      </c>
      <c r="J678" t="s">
        <v>506</v>
      </c>
      <c r="K678" s="9">
        <v>43592</v>
      </c>
      <c r="L678" s="10">
        <v>0.33819444444444446</v>
      </c>
      <c r="M678" t="s">
        <v>1310</v>
      </c>
      <c r="N678" t="s">
        <v>1311</v>
      </c>
      <c r="O678" t="s">
        <v>22</v>
      </c>
    </row>
    <row r="679" spans="1:15" hidden="1">
      <c r="A679" t="s">
        <v>15</v>
      </c>
      <c r="B679" t="str">
        <f>"FES1162688329"</f>
        <v>FES1162688329</v>
      </c>
      <c r="C679" s="9">
        <v>43591</v>
      </c>
      <c r="D679">
        <v>1</v>
      </c>
      <c r="E679">
        <v>2170686936</v>
      </c>
      <c r="F679" t="s">
        <v>16</v>
      </c>
      <c r="G679" t="s">
        <v>17</v>
      </c>
      <c r="H679" t="s">
        <v>43</v>
      </c>
      <c r="I679" t="s">
        <v>44</v>
      </c>
      <c r="J679" t="s">
        <v>51</v>
      </c>
      <c r="K679" s="9">
        <v>43592</v>
      </c>
      <c r="L679" s="10">
        <v>0.41666666666666669</v>
      </c>
      <c r="M679" t="s">
        <v>646</v>
      </c>
      <c r="N679" t="s">
        <v>1312</v>
      </c>
      <c r="O679" t="s">
        <v>22</v>
      </c>
    </row>
    <row r="680" spans="1:15" hidden="1">
      <c r="A680" t="s">
        <v>15</v>
      </c>
      <c r="B680" t="str">
        <f>"FES1162688319"</f>
        <v>FES1162688319</v>
      </c>
      <c r="C680" s="9">
        <v>43591</v>
      </c>
      <c r="D680">
        <v>1</v>
      </c>
      <c r="E680">
        <v>2170685647</v>
      </c>
      <c r="F680" t="s">
        <v>16</v>
      </c>
      <c r="G680" t="s">
        <v>17</v>
      </c>
      <c r="H680" t="s">
        <v>32</v>
      </c>
      <c r="I680" t="s">
        <v>33</v>
      </c>
      <c r="J680" t="s">
        <v>790</v>
      </c>
      <c r="K680" s="9">
        <v>43592</v>
      </c>
      <c r="L680" s="10">
        <v>0.41666666666666669</v>
      </c>
      <c r="M680" t="s">
        <v>791</v>
      </c>
      <c r="N680" t="s">
        <v>1313</v>
      </c>
      <c r="O680" t="s">
        <v>22</v>
      </c>
    </row>
    <row r="681" spans="1:15">
      <c r="A681" s="6" t="s">
        <v>15</v>
      </c>
      <c r="B681" s="6" t="str">
        <f>"FES1162688323"</f>
        <v>FES1162688323</v>
      </c>
      <c r="C681" s="7">
        <v>43591</v>
      </c>
      <c r="D681" s="6">
        <v>1</v>
      </c>
      <c r="E681" s="6">
        <v>2170686541</v>
      </c>
      <c r="F681" s="6" t="s">
        <v>16</v>
      </c>
      <c r="G681" s="6" t="s">
        <v>17</v>
      </c>
      <c r="H681" s="6" t="s">
        <v>17</v>
      </c>
      <c r="I681" s="6" t="s">
        <v>148</v>
      </c>
      <c r="J681" s="6" t="s">
        <v>149</v>
      </c>
      <c r="K681" s="7">
        <v>43592</v>
      </c>
      <c r="L681" s="8">
        <v>0.4375</v>
      </c>
      <c r="M681" s="6" t="s">
        <v>1314</v>
      </c>
      <c r="N681" s="6" t="s">
        <v>21</v>
      </c>
      <c r="O681" s="6" t="s">
        <v>22</v>
      </c>
    </row>
    <row r="682" spans="1:15" hidden="1">
      <c r="A682" t="s">
        <v>15</v>
      </c>
      <c r="B682" t="str">
        <f>"FES1162688317"</f>
        <v>FES1162688317</v>
      </c>
      <c r="C682" s="9">
        <v>43591</v>
      </c>
      <c r="D682">
        <v>1</v>
      </c>
      <c r="E682">
        <v>2170684130</v>
      </c>
      <c r="F682" t="s">
        <v>16</v>
      </c>
      <c r="G682" t="s">
        <v>17</v>
      </c>
      <c r="H682" t="s">
        <v>32</v>
      </c>
      <c r="I682" t="s">
        <v>269</v>
      </c>
      <c r="J682" t="s">
        <v>683</v>
      </c>
      <c r="K682" s="9">
        <v>43592</v>
      </c>
      <c r="L682" s="10">
        <v>0.35416666666666669</v>
      </c>
      <c r="M682" t="s">
        <v>931</v>
      </c>
      <c r="N682" t="s">
        <v>1315</v>
      </c>
      <c r="O682" t="s">
        <v>22</v>
      </c>
    </row>
    <row r="683" spans="1:15" hidden="1">
      <c r="A683" t="s">
        <v>15</v>
      </c>
      <c r="B683" t="str">
        <f>"FES1162688310"</f>
        <v>FES1162688310</v>
      </c>
      <c r="C683" s="9">
        <v>43591</v>
      </c>
      <c r="D683">
        <v>1</v>
      </c>
      <c r="E683">
        <v>2170686196</v>
      </c>
      <c r="F683" t="s">
        <v>16</v>
      </c>
      <c r="G683" t="s">
        <v>17</v>
      </c>
      <c r="H683" t="s">
        <v>43</v>
      </c>
      <c r="I683" t="s">
        <v>44</v>
      </c>
      <c r="J683" t="s">
        <v>236</v>
      </c>
      <c r="K683" s="9">
        <v>43592</v>
      </c>
      <c r="L683" s="10">
        <v>0.41666666666666669</v>
      </c>
      <c r="M683" t="s">
        <v>1316</v>
      </c>
      <c r="N683" t="s">
        <v>1317</v>
      </c>
      <c r="O683" t="s">
        <v>22</v>
      </c>
    </row>
    <row r="684" spans="1:15" ht="15.75" thickBot="1">
      <c r="A684" s="11" t="s">
        <v>15</v>
      </c>
      <c r="B684" s="11" t="str">
        <f>"FES1162688326"</f>
        <v>FES1162688326</v>
      </c>
      <c r="C684" s="12">
        <v>43591</v>
      </c>
      <c r="D684" s="11">
        <v>1</v>
      </c>
      <c r="E684" s="11">
        <v>2170686890</v>
      </c>
      <c r="F684" s="11" t="s">
        <v>16</v>
      </c>
      <c r="G684" s="11" t="s">
        <v>17</v>
      </c>
      <c r="H684" s="11" t="s">
        <v>17</v>
      </c>
      <c r="I684" s="11" t="s">
        <v>18</v>
      </c>
      <c r="J684" s="11" t="s">
        <v>1318</v>
      </c>
      <c r="K684" s="12">
        <v>43594</v>
      </c>
      <c r="L684" s="13">
        <v>0.47222222222222227</v>
      </c>
      <c r="M684" s="11" t="s">
        <v>1319</v>
      </c>
      <c r="N684" s="11" t="s">
        <v>21</v>
      </c>
      <c r="O684" s="11" t="s">
        <v>22</v>
      </c>
    </row>
    <row r="685" spans="1:15" hidden="1">
      <c r="A685" t="s">
        <v>15</v>
      </c>
      <c r="B685" t="str">
        <f>"FES1162687913"</f>
        <v>FES1162687913</v>
      </c>
      <c r="C685" s="9">
        <v>43591</v>
      </c>
      <c r="D685">
        <v>1</v>
      </c>
      <c r="E685">
        <v>2170684213</v>
      </c>
      <c r="F685" t="s">
        <v>16</v>
      </c>
      <c r="G685" t="s">
        <v>17</v>
      </c>
      <c r="H685" t="s">
        <v>290</v>
      </c>
      <c r="I685" t="s">
        <v>309</v>
      </c>
      <c r="J685" t="s">
        <v>310</v>
      </c>
      <c r="K685" s="9">
        <v>43592</v>
      </c>
      <c r="L685" s="10">
        <v>0.42708333333333331</v>
      </c>
      <c r="M685" t="s">
        <v>1281</v>
      </c>
      <c r="N685" t="s">
        <v>1320</v>
      </c>
      <c r="O685" t="s">
        <v>22</v>
      </c>
    </row>
    <row r="686" spans="1:15" hidden="1">
      <c r="A686" t="s">
        <v>15</v>
      </c>
      <c r="B686" t="str">
        <f>"FES1162688577"</f>
        <v>FES1162688577</v>
      </c>
      <c r="C686" s="9">
        <v>43592</v>
      </c>
      <c r="D686">
        <v>1</v>
      </c>
      <c r="E686">
        <v>2170687327</v>
      </c>
      <c r="F686" t="s">
        <v>16</v>
      </c>
      <c r="G686" t="s">
        <v>17</v>
      </c>
      <c r="H686" t="s">
        <v>32</v>
      </c>
      <c r="I686" t="s">
        <v>1321</v>
      </c>
      <c r="J686" t="s">
        <v>1322</v>
      </c>
      <c r="K686" s="9">
        <v>43594</v>
      </c>
      <c r="L686" t="s">
        <v>1323</v>
      </c>
      <c r="M686" t="s">
        <v>1324</v>
      </c>
      <c r="N686" t="s">
        <v>1325</v>
      </c>
      <c r="O686" t="s">
        <v>22</v>
      </c>
    </row>
    <row r="687" spans="1:15">
      <c r="A687" s="6" t="s">
        <v>15</v>
      </c>
      <c r="B687" s="6" t="str">
        <f>"FES1162688545"</f>
        <v>FES1162688545</v>
      </c>
      <c r="C687" s="7">
        <v>43592</v>
      </c>
      <c r="D687" s="6">
        <v>1</v>
      </c>
      <c r="E687" s="6">
        <v>2170685023</v>
      </c>
      <c r="F687" s="6" t="s">
        <v>16</v>
      </c>
      <c r="G687" s="6" t="s">
        <v>17</v>
      </c>
      <c r="H687" s="6" t="s">
        <v>17</v>
      </c>
      <c r="I687" s="6" t="s">
        <v>564</v>
      </c>
      <c r="J687" s="6" t="s">
        <v>565</v>
      </c>
      <c r="K687" s="7">
        <v>43594</v>
      </c>
      <c r="L687" s="8">
        <v>0.33333333333333331</v>
      </c>
      <c r="M687" s="6" t="s">
        <v>1326</v>
      </c>
      <c r="N687" s="6" t="s">
        <v>21</v>
      </c>
      <c r="O687" s="6" t="s">
        <v>22</v>
      </c>
    </row>
    <row r="688" spans="1:15">
      <c r="A688" s="6" t="s">
        <v>15</v>
      </c>
      <c r="B688" s="6" t="str">
        <f>"FES1162688609"</f>
        <v>FES1162688609</v>
      </c>
      <c r="C688" s="7">
        <v>43592</v>
      </c>
      <c r="D688" s="6">
        <v>1</v>
      </c>
      <c r="E688" s="6">
        <v>2170687368</v>
      </c>
      <c r="F688" s="6" t="s">
        <v>16</v>
      </c>
      <c r="G688" s="6" t="s">
        <v>17</v>
      </c>
      <c r="H688" s="6" t="s">
        <v>17</v>
      </c>
      <c r="I688" s="6" t="s">
        <v>18</v>
      </c>
      <c r="J688" s="6" t="s">
        <v>19</v>
      </c>
      <c r="K688" s="7">
        <v>43594</v>
      </c>
      <c r="L688" s="8">
        <v>0.39999999999999997</v>
      </c>
      <c r="M688" s="6" t="s">
        <v>1327</v>
      </c>
      <c r="N688" s="6" t="s">
        <v>21</v>
      </c>
      <c r="O688" s="6" t="s">
        <v>22</v>
      </c>
    </row>
    <row r="689" spans="1:15">
      <c r="A689" s="6" t="s">
        <v>15</v>
      </c>
      <c r="B689" s="6" t="str">
        <f>"RFES1162688151"</f>
        <v>RFES1162688151</v>
      </c>
      <c r="C689" s="7">
        <v>43592</v>
      </c>
      <c r="D689" s="6">
        <v>1</v>
      </c>
      <c r="E689" s="6">
        <v>2170686972</v>
      </c>
      <c r="F689" s="6" t="s">
        <v>16</v>
      </c>
      <c r="G689" s="6" t="s">
        <v>17</v>
      </c>
      <c r="H689" s="6" t="s">
        <v>17</v>
      </c>
      <c r="I689" s="6" t="s">
        <v>64</v>
      </c>
      <c r="J689" s="6" t="s">
        <v>476</v>
      </c>
      <c r="K689" s="7">
        <v>43594</v>
      </c>
      <c r="L689" s="8">
        <v>0.37291666666666662</v>
      </c>
      <c r="M689" s="6" t="s">
        <v>325</v>
      </c>
      <c r="N689" s="6" t="s">
        <v>21</v>
      </c>
      <c r="O689" s="6" t="s">
        <v>22</v>
      </c>
    </row>
    <row r="690" spans="1:15" hidden="1">
      <c r="A690" t="s">
        <v>15</v>
      </c>
      <c r="B690" t="str">
        <f>"FES1162686441"</f>
        <v>FES1162686441</v>
      </c>
      <c r="C690" s="9">
        <v>43592</v>
      </c>
      <c r="D690">
        <v>1</v>
      </c>
      <c r="E690">
        <v>2170683279</v>
      </c>
      <c r="F690" t="s">
        <v>16</v>
      </c>
      <c r="G690" t="s">
        <v>17</v>
      </c>
      <c r="H690" t="s">
        <v>290</v>
      </c>
      <c r="I690" t="s">
        <v>291</v>
      </c>
      <c r="J690" t="s">
        <v>1328</v>
      </c>
      <c r="K690" s="9">
        <v>43594</v>
      </c>
      <c r="L690" s="10">
        <v>0.57986111111111105</v>
      </c>
      <c r="M690" t="s">
        <v>1329</v>
      </c>
      <c r="N690" t="s">
        <v>1330</v>
      </c>
      <c r="O690" t="s">
        <v>22</v>
      </c>
    </row>
    <row r="691" spans="1:15">
      <c r="A691" s="6" t="s">
        <v>15</v>
      </c>
      <c r="B691" s="6" t="str">
        <f>"FES1162688296"</f>
        <v>FES1162688296</v>
      </c>
      <c r="C691" s="7">
        <v>43592</v>
      </c>
      <c r="D691" s="6">
        <v>1</v>
      </c>
      <c r="E691" s="6">
        <v>2170687147</v>
      </c>
      <c r="F691" s="6" t="s">
        <v>16</v>
      </c>
      <c r="G691" s="6" t="s">
        <v>17</v>
      </c>
      <c r="H691" s="6" t="s">
        <v>17</v>
      </c>
      <c r="I691" s="6" t="s">
        <v>103</v>
      </c>
      <c r="J691" s="6" t="s">
        <v>1331</v>
      </c>
      <c r="K691" s="7">
        <v>43598</v>
      </c>
      <c r="L691" s="8">
        <v>0.4597222222222222</v>
      </c>
      <c r="M691" s="6" t="s">
        <v>969</v>
      </c>
      <c r="N691" s="6" t="s">
        <v>21</v>
      </c>
      <c r="O691" s="6" t="s">
        <v>22</v>
      </c>
    </row>
    <row r="692" spans="1:15">
      <c r="A692" s="6" t="s">
        <v>15</v>
      </c>
      <c r="B692" s="6" t="str">
        <f>"FES1162687325"</f>
        <v>FES1162687325</v>
      </c>
      <c r="C692" s="7">
        <v>43592</v>
      </c>
      <c r="D692" s="6">
        <v>1</v>
      </c>
      <c r="E692" s="6">
        <v>2170684799</v>
      </c>
      <c r="F692" s="6" t="s">
        <v>16</v>
      </c>
      <c r="G692" s="6" t="s">
        <v>17</v>
      </c>
      <c r="H692" s="6" t="s">
        <v>17</v>
      </c>
      <c r="I692" s="6" t="s">
        <v>64</v>
      </c>
      <c r="J692" s="6" t="s">
        <v>1332</v>
      </c>
      <c r="K692" s="7">
        <v>43594</v>
      </c>
      <c r="L692" s="8">
        <v>0.34027777777777773</v>
      </c>
      <c r="M692" s="6" t="s">
        <v>325</v>
      </c>
      <c r="N692" s="6" t="s">
        <v>21</v>
      </c>
      <c r="O692" s="6" t="s">
        <v>22</v>
      </c>
    </row>
    <row r="693" spans="1:15" hidden="1">
      <c r="A693" t="s">
        <v>15</v>
      </c>
      <c r="B693" t="str">
        <f>"FES1162686994"</f>
        <v>FES1162686994</v>
      </c>
      <c r="C693" s="9">
        <v>43592</v>
      </c>
      <c r="D693">
        <v>1</v>
      </c>
      <c r="E693">
        <v>2170686067</v>
      </c>
      <c r="F693" t="s">
        <v>16</v>
      </c>
      <c r="G693" t="s">
        <v>17</v>
      </c>
      <c r="H693" t="s">
        <v>290</v>
      </c>
      <c r="I693" t="s">
        <v>291</v>
      </c>
      <c r="J693" t="s">
        <v>1187</v>
      </c>
      <c r="K693" s="9">
        <v>43594</v>
      </c>
      <c r="L693" s="10">
        <v>0.4236111111111111</v>
      </c>
      <c r="M693" t="s">
        <v>1188</v>
      </c>
      <c r="N693" t="s">
        <v>1333</v>
      </c>
      <c r="O693" t="s">
        <v>22</v>
      </c>
    </row>
    <row r="694" spans="1:15" hidden="1">
      <c r="A694" t="s">
        <v>15</v>
      </c>
      <c r="B694" t="str">
        <f>"FES1162688146"</f>
        <v>FES1162688146</v>
      </c>
      <c r="C694" s="9">
        <v>43592</v>
      </c>
      <c r="D694">
        <v>1</v>
      </c>
      <c r="E694">
        <v>2170686965</v>
      </c>
      <c r="F694" t="s">
        <v>16</v>
      </c>
      <c r="G694" t="s">
        <v>17</v>
      </c>
      <c r="H694" t="s">
        <v>290</v>
      </c>
      <c r="I694" t="s">
        <v>309</v>
      </c>
      <c r="J694" t="s">
        <v>1037</v>
      </c>
      <c r="K694" s="9">
        <v>43594</v>
      </c>
      <c r="L694" s="10">
        <v>0.37847222222222227</v>
      </c>
      <c r="M694" t="s">
        <v>1334</v>
      </c>
      <c r="N694" t="s">
        <v>1335</v>
      </c>
      <c r="O694" t="s">
        <v>22</v>
      </c>
    </row>
    <row r="695" spans="1:15" hidden="1">
      <c r="A695" t="s">
        <v>15</v>
      </c>
      <c r="B695" t="str">
        <f>"FES1162687927"</f>
        <v>FES1162687927</v>
      </c>
      <c r="C695" s="9">
        <v>43592</v>
      </c>
      <c r="D695">
        <v>1</v>
      </c>
      <c r="E695">
        <v>2170685418</v>
      </c>
      <c r="F695" t="s">
        <v>16</v>
      </c>
      <c r="G695" t="s">
        <v>17</v>
      </c>
      <c r="H695" t="s">
        <v>290</v>
      </c>
      <c r="I695" t="s">
        <v>291</v>
      </c>
      <c r="J695" t="s">
        <v>1336</v>
      </c>
      <c r="K695" s="9">
        <v>43594</v>
      </c>
      <c r="L695" s="10">
        <v>0.40972222222222227</v>
      </c>
      <c r="M695" t="s">
        <v>1337</v>
      </c>
      <c r="N695" t="s">
        <v>1338</v>
      </c>
      <c r="O695" t="s">
        <v>22</v>
      </c>
    </row>
    <row r="696" spans="1:15" hidden="1">
      <c r="A696" t="s">
        <v>15</v>
      </c>
      <c r="B696" t="str">
        <f>"FES1162688157"</f>
        <v>FES1162688157</v>
      </c>
      <c r="C696" s="9">
        <v>43592</v>
      </c>
      <c r="D696">
        <v>1</v>
      </c>
      <c r="E696">
        <v>2170686983</v>
      </c>
      <c r="F696" t="s">
        <v>16</v>
      </c>
      <c r="G696" t="s">
        <v>17</v>
      </c>
      <c r="H696" t="s">
        <v>290</v>
      </c>
      <c r="I696" t="s">
        <v>291</v>
      </c>
      <c r="J696" t="s">
        <v>1030</v>
      </c>
      <c r="K696" s="9">
        <v>43594</v>
      </c>
      <c r="L696" s="10">
        <v>0.4375</v>
      </c>
      <c r="M696" t="s">
        <v>645</v>
      </c>
      <c r="N696" t="s">
        <v>1339</v>
      </c>
      <c r="O696" t="s">
        <v>22</v>
      </c>
    </row>
    <row r="697" spans="1:15" hidden="1">
      <c r="A697" t="s">
        <v>15</v>
      </c>
      <c r="B697" t="str">
        <f>"FES1162688220"</f>
        <v>FES1162688220</v>
      </c>
      <c r="C697" s="9">
        <v>43592</v>
      </c>
      <c r="D697">
        <v>2</v>
      </c>
      <c r="E697">
        <v>2170684230</v>
      </c>
      <c r="F697" t="s">
        <v>16</v>
      </c>
      <c r="G697" t="s">
        <v>17</v>
      </c>
      <c r="H697" t="s">
        <v>32</v>
      </c>
      <c r="I697" t="s">
        <v>342</v>
      </c>
      <c r="J697" t="s">
        <v>1340</v>
      </c>
      <c r="K697" s="9">
        <v>43594</v>
      </c>
      <c r="L697" s="10">
        <v>0.41666666666666669</v>
      </c>
      <c r="M697" t="s">
        <v>1341</v>
      </c>
      <c r="N697" t="s">
        <v>1342</v>
      </c>
      <c r="O697" t="s">
        <v>22</v>
      </c>
    </row>
    <row r="698" spans="1:15" hidden="1">
      <c r="A698" t="s">
        <v>15</v>
      </c>
      <c r="B698" t="str">
        <f>"FES1162688351"</f>
        <v>FES1162688351</v>
      </c>
      <c r="C698" s="9">
        <v>43592</v>
      </c>
      <c r="D698">
        <v>1</v>
      </c>
      <c r="E698">
        <v>2170687197</v>
      </c>
      <c r="F698" t="s">
        <v>16</v>
      </c>
      <c r="G698" t="s">
        <v>17</v>
      </c>
      <c r="H698" t="s">
        <v>32</v>
      </c>
      <c r="I698" t="s">
        <v>33</v>
      </c>
      <c r="J698" t="s">
        <v>790</v>
      </c>
      <c r="K698" s="9">
        <v>43594</v>
      </c>
      <c r="L698" s="10">
        <v>0.38611111111111113</v>
      </c>
      <c r="M698" t="s">
        <v>791</v>
      </c>
      <c r="N698" t="s">
        <v>1343</v>
      </c>
      <c r="O698" t="s">
        <v>22</v>
      </c>
    </row>
    <row r="699" spans="1:15" hidden="1">
      <c r="A699" t="s">
        <v>15</v>
      </c>
      <c r="B699" t="str">
        <f>"FES1162688217"</f>
        <v>FES1162688217</v>
      </c>
      <c r="C699" s="9">
        <v>43592</v>
      </c>
      <c r="D699">
        <v>1</v>
      </c>
      <c r="E699">
        <v>2170687042</v>
      </c>
      <c r="F699" t="s">
        <v>16</v>
      </c>
      <c r="G699" t="s">
        <v>17</v>
      </c>
      <c r="H699" t="s">
        <v>32</v>
      </c>
      <c r="I699" t="s">
        <v>33</v>
      </c>
      <c r="J699" t="s">
        <v>365</v>
      </c>
      <c r="K699" s="9">
        <v>43594</v>
      </c>
      <c r="L699" s="10">
        <v>0.40277777777777773</v>
      </c>
      <c r="M699" t="s">
        <v>1344</v>
      </c>
      <c r="N699" t="s">
        <v>1345</v>
      </c>
      <c r="O699" t="s">
        <v>22</v>
      </c>
    </row>
    <row r="700" spans="1:15" hidden="1">
      <c r="A700" t="s">
        <v>15</v>
      </c>
      <c r="B700" t="str">
        <f>"FES1162688249"</f>
        <v>FES1162688249</v>
      </c>
      <c r="C700" s="9">
        <v>43592</v>
      </c>
      <c r="D700">
        <v>1</v>
      </c>
      <c r="E700">
        <v>2170687075</v>
      </c>
      <c r="F700" t="s">
        <v>16</v>
      </c>
      <c r="G700" t="s">
        <v>17</v>
      </c>
      <c r="H700" t="s">
        <v>32</v>
      </c>
      <c r="I700" t="s">
        <v>269</v>
      </c>
      <c r="J700" t="s">
        <v>1346</v>
      </c>
      <c r="K700" s="9">
        <v>43594</v>
      </c>
      <c r="L700" s="10">
        <v>0.33333333333333331</v>
      </c>
      <c r="M700" t="s">
        <v>1347</v>
      </c>
      <c r="N700" t="s">
        <v>1348</v>
      </c>
      <c r="O700" t="s">
        <v>22</v>
      </c>
    </row>
    <row r="701" spans="1:15" hidden="1">
      <c r="A701" t="s">
        <v>15</v>
      </c>
      <c r="B701" t="str">
        <f>"FES1162688275"</f>
        <v>FES1162688275</v>
      </c>
      <c r="C701" s="9">
        <v>43592</v>
      </c>
      <c r="D701">
        <v>1</v>
      </c>
      <c r="E701">
        <v>2170687121</v>
      </c>
      <c r="F701" t="s">
        <v>16</v>
      </c>
      <c r="G701" t="s">
        <v>17</v>
      </c>
      <c r="H701" t="s">
        <v>32</v>
      </c>
      <c r="I701" t="s">
        <v>33</v>
      </c>
      <c r="J701" t="s">
        <v>365</v>
      </c>
      <c r="K701" s="9">
        <v>43594</v>
      </c>
      <c r="L701" s="10">
        <v>0.40277777777777773</v>
      </c>
      <c r="M701" t="s">
        <v>1349</v>
      </c>
      <c r="N701" t="s">
        <v>1350</v>
      </c>
      <c r="O701" t="s">
        <v>22</v>
      </c>
    </row>
    <row r="702" spans="1:15" hidden="1">
      <c r="A702" t="s">
        <v>15</v>
      </c>
      <c r="B702" t="str">
        <f>"FES1162688205"</f>
        <v>FES1162688205</v>
      </c>
      <c r="C702" s="9">
        <v>43592</v>
      </c>
      <c r="D702">
        <v>2</v>
      </c>
      <c r="E702">
        <v>2170676769</v>
      </c>
      <c r="F702" t="s">
        <v>16</v>
      </c>
      <c r="G702" t="s">
        <v>17</v>
      </c>
      <c r="H702" t="s">
        <v>32</v>
      </c>
      <c r="I702" t="s">
        <v>33</v>
      </c>
      <c r="J702" t="s">
        <v>34</v>
      </c>
      <c r="K702" s="9">
        <v>43594</v>
      </c>
      <c r="L702" s="10">
        <v>0.33680555555555558</v>
      </c>
      <c r="M702" t="s">
        <v>35</v>
      </c>
      <c r="N702" t="s">
        <v>1351</v>
      </c>
      <c r="O702" t="s">
        <v>22</v>
      </c>
    </row>
    <row r="703" spans="1:15" hidden="1">
      <c r="A703" t="s">
        <v>15</v>
      </c>
      <c r="B703" t="str">
        <f>"FES1162688207"</f>
        <v>FES1162688207</v>
      </c>
      <c r="C703" s="9">
        <v>43592</v>
      </c>
      <c r="D703">
        <v>1</v>
      </c>
      <c r="E703">
        <v>2170683006</v>
      </c>
      <c r="F703" t="s">
        <v>16</v>
      </c>
      <c r="G703" t="s">
        <v>17</v>
      </c>
      <c r="H703" t="s">
        <v>32</v>
      </c>
      <c r="I703" t="s">
        <v>33</v>
      </c>
      <c r="J703" t="s">
        <v>360</v>
      </c>
      <c r="K703" s="9">
        <v>43594</v>
      </c>
      <c r="L703" s="10">
        <v>0.38541666666666669</v>
      </c>
      <c r="M703" t="s">
        <v>793</v>
      </c>
      <c r="N703" t="s">
        <v>1352</v>
      </c>
      <c r="O703" t="s">
        <v>22</v>
      </c>
    </row>
    <row r="704" spans="1:15" hidden="1">
      <c r="A704" t="s">
        <v>15</v>
      </c>
      <c r="B704" t="str">
        <f>"FES1162688210"</f>
        <v>FES1162688210</v>
      </c>
      <c r="C704" s="9">
        <v>43592</v>
      </c>
      <c r="D704">
        <v>1</v>
      </c>
      <c r="E704">
        <v>2170677444</v>
      </c>
      <c r="F704" t="s">
        <v>16</v>
      </c>
      <c r="G704" t="s">
        <v>17</v>
      </c>
      <c r="H704" t="s">
        <v>32</v>
      </c>
      <c r="I704" t="s">
        <v>33</v>
      </c>
      <c r="J704" t="s">
        <v>34</v>
      </c>
      <c r="K704" s="9">
        <v>43594</v>
      </c>
      <c r="L704" s="10">
        <v>0.33680555555555558</v>
      </c>
      <c r="M704" t="s">
        <v>35</v>
      </c>
      <c r="N704" t="s">
        <v>1353</v>
      </c>
      <c r="O704" t="s">
        <v>22</v>
      </c>
    </row>
    <row r="705" spans="1:15" hidden="1">
      <c r="A705" t="s">
        <v>15</v>
      </c>
      <c r="B705" t="str">
        <f>"FES1162688155"</f>
        <v>FES1162688155</v>
      </c>
      <c r="C705" s="9">
        <v>43592</v>
      </c>
      <c r="D705">
        <v>1</v>
      </c>
      <c r="E705">
        <v>2170686980</v>
      </c>
      <c r="F705" t="s">
        <v>16</v>
      </c>
      <c r="G705" t="s">
        <v>17</v>
      </c>
      <c r="H705" t="s">
        <v>290</v>
      </c>
      <c r="I705" t="s">
        <v>291</v>
      </c>
      <c r="J705" t="s">
        <v>1030</v>
      </c>
      <c r="K705" s="9">
        <v>43594</v>
      </c>
      <c r="L705" s="10">
        <v>0.4375</v>
      </c>
      <c r="M705" t="s">
        <v>645</v>
      </c>
      <c r="N705" t="s">
        <v>1354</v>
      </c>
      <c r="O705" t="s">
        <v>22</v>
      </c>
    </row>
    <row r="706" spans="1:15" hidden="1">
      <c r="A706" t="s">
        <v>15</v>
      </c>
      <c r="B706" t="str">
        <f>"FES1162688130"</f>
        <v>FES1162688130</v>
      </c>
      <c r="C706" s="9">
        <v>43592</v>
      </c>
      <c r="D706">
        <v>1</v>
      </c>
      <c r="E706">
        <v>2170685878</v>
      </c>
      <c r="F706" t="s">
        <v>16</v>
      </c>
      <c r="G706" t="s">
        <v>17</v>
      </c>
      <c r="H706" t="s">
        <v>141</v>
      </c>
      <c r="I706" t="s">
        <v>185</v>
      </c>
      <c r="J706" t="s">
        <v>503</v>
      </c>
      <c r="K706" s="9">
        <v>43594</v>
      </c>
      <c r="L706" s="10">
        <v>0.43611111111111112</v>
      </c>
      <c r="M706" t="s">
        <v>1355</v>
      </c>
      <c r="N706" t="s">
        <v>1356</v>
      </c>
      <c r="O706" t="s">
        <v>22</v>
      </c>
    </row>
    <row r="707" spans="1:15" hidden="1">
      <c r="A707" t="s">
        <v>15</v>
      </c>
      <c r="B707" t="str">
        <f>"FES1162688211"</f>
        <v>FES1162688211</v>
      </c>
      <c r="C707" s="9">
        <v>43592</v>
      </c>
      <c r="D707">
        <v>1</v>
      </c>
      <c r="E707">
        <v>2170677672</v>
      </c>
      <c r="F707" t="s">
        <v>16</v>
      </c>
      <c r="G707" t="s">
        <v>17</v>
      </c>
      <c r="H707" t="s">
        <v>32</v>
      </c>
      <c r="I707" t="s">
        <v>33</v>
      </c>
      <c r="J707" t="s">
        <v>34</v>
      </c>
      <c r="K707" s="9">
        <v>43594</v>
      </c>
      <c r="L707" s="10">
        <v>0.33680555555555558</v>
      </c>
      <c r="M707" t="s">
        <v>35</v>
      </c>
      <c r="N707" t="s">
        <v>1357</v>
      </c>
      <c r="O707" t="s">
        <v>22</v>
      </c>
    </row>
    <row r="708" spans="1:15" hidden="1">
      <c r="A708" t="s">
        <v>15</v>
      </c>
      <c r="B708" t="str">
        <f>"FES1162688125"</f>
        <v>FES1162688125</v>
      </c>
      <c r="C708" s="9">
        <v>43592</v>
      </c>
      <c r="D708">
        <v>1</v>
      </c>
      <c r="E708">
        <v>2170684810</v>
      </c>
      <c r="F708" t="s">
        <v>16</v>
      </c>
      <c r="G708" t="s">
        <v>17</v>
      </c>
      <c r="H708" t="s">
        <v>290</v>
      </c>
      <c r="I708" t="s">
        <v>291</v>
      </c>
      <c r="J708" t="s">
        <v>671</v>
      </c>
      <c r="K708" s="9">
        <v>43594</v>
      </c>
      <c r="L708" s="10">
        <v>0.42708333333333331</v>
      </c>
      <c r="M708" t="s">
        <v>481</v>
      </c>
      <c r="N708" t="s">
        <v>1358</v>
      </c>
      <c r="O708" t="s">
        <v>22</v>
      </c>
    </row>
    <row r="709" spans="1:15" hidden="1">
      <c r="A709" t="s">
        <v>15</v>
      </c>
      <c r="B709" t="str">
        <f>"FES1162688444"</f>
        <v>FES1162688444</v>
      </c>
      <c r="C709" s="9">
        <v>43592</v>
      </c>
      <c r="D709">
        <v>1</v>
      </c>
      <c r="E709">
        <v>2170686947</v>
      </c>
      <c r="F709" t="s">
        <v>16</v>
      </c>
      <c r="G709" t="s">
        <v>17</v>
      </c>
      <c r="H709" t="s">
        <v>141</v>
      </c>
      <c r="I709" t="s">
        <v>142</v>
      </c>
      <c r="J709" t="s">
        <v>143</v>
      </c>
      <c r="K709" s="9">
        <v>43594</v>
      </c>
      <c r="L709" s="10">
        <v>0.36319444444444443</v>
      </c>
      <c r="M709" t="s">
        <v>1359</v>
      </c>
      <c r="N709" t="s">
        <v>1360</v>
      </c>
      <c r="O709" t="s">
        <v>22</v>
      </c>
    </row>
    <row r="710" spans="1:15">
      <c r="A710" s="6" t="s">
        <v>15</v>
      </c>
      <c r="B710" s="6" t="str">
        <f>"FES1162688396"</f>
        <v>FES1162688396</v>
      </c>
      <c r="C710" s="7">
        <v>43592</v>
      </c>
      <c r="D710" s="6">
        <v>1</v>
      </c>
      <c r="E710" s="6">
        <v>2170686979</v>
      </c>
      <c r="F710" s="6" t="s">
        <v>16</v>
      </c>
      <c r="G710" s="6" t="s">
        <v>17</v>
      </c>
      <c r="H710" s="6" t="s">
        <v>17</v>
      </c>
      <c r="I710" s="6" t="s">
        <v>64</v>
      </c>
      <c r="J710" s="6" t="s">
        <v>1361</v>
      </c>
      <c r="K710" s="7">
        <v>43594</v>
      </c>
      <c r="L710" s="8">
        <v>0.33958333333333335</v>
      </c>
      <c r="M710" s="6" t="s">
        <v>325</v>
      </c>
      <c r="N710" s="6" t="s">
        <v>21</v>
      </c>
      <c r="O710" s="6" t="s">
        <v>22</v>
      </c>
    </row>
    <row r="711" spans="1:15" hidden="1">
      <c r="A711" t="s">
        <v>15</v>
      </c>
      <c r="B711" t="str">
        <f>"FES1162688390"</f>
        <v>FES1162688390</v>
      </c>
      <c r="C711" s="9">
        <v>43592</v>
      </c>
      <c r="D711">
        <v>1</v>
      </c>
      <c r="E711">
        <v>2170686383</v>
      </c>
      <c r="F711" t="s">
        <v>16</v>
      </c>
      <c r="G711" t="s">
        <v>17</v>
      </c>
      <c r="H711" t="s">
        <v>43</v>
      </c>
      <c r="I711" t="s">
        <v>44</v>
      </c>
      <c r="J711" t="s">
        <v>72</v>
      </c>
      <c r="K711" s="9">
        <v>43601</v>
      </c>
      <c r="L711" s="10">
        <v>0.67569444444444438</v>
      </c>
      <c r="M711" t="s">
        <v>969</v>
      </c>
      <c r="N711" t="s">
        <v>1362</v>
      </c>
      <c r="O711" t="s">
        <v>22</v>
      </c>
    </row>
    <row r="712" spans="1:15">
      <c r="A712" s="6" t="s">
        <v>15</v>
      </c>
      <c r="B712" s="6" t="str">
        <f>"FES1162688492"</f>
        <v>FES1162688492</v>
      </c>
      <c r="C712" s="7">
        <v>43592</v>
      </c>
      <c r="D712" s="6">
        <v>1</v>
      </c>
      <c r="E712" s="6">
        <v>2170685201</v>
      </c>
      <c r="F712" s="6" t="s">
        <v>16</v>
      </c>
      <c r="G712" s="6" t="s">
        <v>17</v>
      </c>
      <c r="H712" s="6" t="s">
        <v>17</v>
      </c>
      <c r="I712" s="6" t="s">
        <v>64</v>
      </c>
      <c r="J712" s="6" t="s">
        <v>116</v>
      </c>
      <c r="K712" s="7">
        <v>43594</v>
      </c>
      <c r="L712" s="8">
        <v>0.53055555555555556</v>
      </c>
      <c r="M712" s="6" t="s">
        <v>1363</v>
      </c>
      <c r="N712" s="6" t="s">
        <v>21</v>
      </c>
      <c r="O712" s="6" t="s">
        <v>22</v>
      </c>
    </row>
    <row r="713" spans="1:15">
      <c r="A713" s="6" t="s">
        <v>15</v>
      </c>
      <c r="B713" s="6" t="str">
        <f>"FES1162688516"</f>
        <v>FES1162688516</v>
      </c>
      <c r="C713" s="7">
        <v>43592</v>
      </c>
      <c r="D713" s="6">
        <v>1</v>
      </c>
      <c r="E713" s="6">
        <v>2170685394</v>
      </c>
      <c r="F713" s="6" t="s">
        <v>16</v>
      </c>
      <c r="G713" s="6" t="s">
        <v>17</v>
      </c>
      <c r="H713" s="6" t="s">
        <v>17</v>
      </c>
      <c r="I713" s="6" t="s">
        <v>29</v>
      </c>
      <c r="J713" s="6" t="s">
        <v>1364</v>
      </c>
      <c r="K713" s="7">
        <v>43594</v>
      </c>
      <c r="L713" s="8">
        <v>0.35416666666666669</v>
      </c>
      <c r="M713" s="6" t="s">
        <v>1365</v>
      </c>
      <c r="N713" s="6" t="s">
        <v>21</v>
      </c>
      <c r="O713" s="6" t="s">
        <v>22</v>
      </c>
    </row>
    <row r="714" spans="1:15">
      <c r="A714" s="6" t="s">
        <v>15</v>
      </c>
      <c r="B714" s="6" t="str">
        <f>"FES1162688535"</f>
        <v>FES1162688535</v>
      </c>
      <c r="C714" s="7">
        <v>43592</v>
      </c>
      <c r="D714" s="6">
        <v>1</v>
      </c>
      <c r="E714" s="6">
        <v>2170686533</v>
      </c>
      <c r="F714" s="6" t="s">
        <v>16</v>
      </c>
      <c r="G714" s="6" t="s">
        <v>17</v>
      </c>
      <c r="H714" s="6" t="s">
        <v>17</v>
      </c>
      <c r="I714" s="6" t="s">
        <v>18</v>
      </c>
      <c r="J714" s="6" t="s">
        <v>281</v>
      </c>
      <c r="K714" s="7">
        <v>43594</v>
      </c>
      <c r="L714" s="8">
        <v>0.35347222222222219</v>
      </c>
      <c r="M714" s="6" t="s">
        <v>1366</v>
      </c>
      <c r="N714" s="6" t="s">
        <v>21</v>
      </c>
      <c r="O714" s="6" t="s">
        <v>22</v>
      </c>
    </row>
    <row r="715" spans="1:15">
      <c r="A715" s="6" t="s">
        <v>15</v>
      </c>
      <c r="B715" s="6" t="str">
        <f>"FES1162688483"</f>
        <v>FES1162688483</v>
      </c>
      <c r="C715" s="7">
        <v>43592</v>
      </c>
      <c r="D715" s="6">
        <v>1</v>
      </c>
      <c r="E715" s="6">
        <v>217068511</v>
      </c>
      <c r="F715" s="6" t="s">
        <v>16</v>
      </c>
      <c r="G715" s="6" t="s">
        <v>17</v>
      </c>
      <c r="H715" s="6" t="s">
        <v>17</v>
      </c>
      <c r="I715" s="6" t="s">
        <v>414</v>
      </c>
      <c r="J715" s="6" t="s">
        <v>1096</v>
      </c>
      <c r="K715" s="7">
        <v>43598</v>
      </c>
      <c r="L715" s="8">
        <v>0.54166666666666663</v>
      </c>
      <c r="M715" s="6" t="s">
        <v>1367</v>
      </c>
      <c r="N715" s="6" t="s">
        <v>21</v>
      </c>
      <c r="O715" s="6" t="s">
        <v>22</v>
      </c>
    </row>
    <row r="716" spans="1:15">
      <c r="A716" s="6" t="s">
        <v>15</v>
      </c>
      <c r="B716" s="6" t="str">
        <f>"FES1162688561"</f>
        <v>FES1162688561</v>
      </c>
      <c r="C716" s="7">
        <v>43592</v>
      </c>
      <c r="D716" s="6">
        <v>1</v>
      </c>
      <c r="E716" s="6">
        <v>2170687309</v>
      </c>
      <c r="F716" s="6" t="s">
        <v>16</v>
      </c>
      <c r="G716" s="6" t="s">
        <v>17</v>
      </c>
      <c r="H716" s="6" t="s">
        <v>17</v>
      </c>
      <c r="I716" s="6" t="s">
        <v>18</v>
      </c>
      <c r="J716" s="6" t="s">
        <v>1368</v>
      </c>
      <c r="K716" s="7">
        <v>43594</v>
      </c>
      <c r="L716" s="8">
        <v>0.3888888888888889</v>
      </c>
      <c r="M716" s="6" t="s">
        <v>1369</v>
      </c>
      <c r="N716" s="6" t="s">
        <v>21</v>
      </c>
      <c r="O716" s="6" t="s">
        <v>22</v>
      </c>
    </row>
    <row r="717" spans="1:15">
      <c r="A717" s="6" t="s">
        <v>15</v>
      </c>
      <c r="B717" s="6" t="str">
        <f>"FES1162688573"</f>
        <v>FES1162688573</v>
      </c>
      <c r="C717" s="7">
        <v>43592</v>
      </c>
      <c r="D717" s="6">
        <v>1</v>
      </c>
      <c r="E717" s="6">
        <v>217687325</v>
      </c>
      <c r="F717" s="6" t="s">
        <v>16</v>
      </c>
      <c r="G717" s="6" t="s">
        <v>17</v>
      </c>
      <c r="H717" s="6" t="s">
        <v>17</v>
      </c>
      <c r="I717" s="6" t="s">
        <v>84</v>
      </c>
      <c r="J717" s="6" t="s">
        <v>1370</v>
      </c>
      <c r="K717" s="7">
        <v>43594</v>
      </c>
      <c r="L717" s="8">
        <v>0.43124999999999997</v>
      </c>
      <c r="M717" s="6" t="s">
        <v>1371</v>
      </c>
      <c r="N717" s="6" t="s">
        <v>21</v>
      </c>
      <c r="O717" s="6" t="s">
        <v>22</v>
      </c>
    </row>
    <row r="718" spans="1:15" hidden="1">
      <c r="A718" t="s">
        <v>15</v>
      </c>
      <c r="B718" t="str">
        <f>"FES1162688424"</f>
        <v>FES1162688424</v>
      </c>
      <c r="C718" s="9">
        <v>43592</v>
      </c>
      <c r="D718">
        <v>1</v>
      </c>
      <c r="E718">
        <v>2170687221</v>
      </c>
      <c r="F718" t="s">
        <v>16</v>
      </c>
      <c r="G718" t="s">
        <v>17</v>
      </c>
      <c r="H718" t="s">
        <v>290</v>
      </c>
      <c r="I718" t="s">
        <v>309</v>
      </c>
      <c r="J718" t="s">
        <v>331</v>
      </c>
      <c r="K718" s="9">
        <v>43594</v>
      </c>
      <c r="L718" s="10">
        <v>0.40208333333333335</v>
      </c>
      <c r="M718" t="s">
        <v>332</v>
      </c>
      <c r="N718" t="s">
        <v>1372</v>
      </c>
      <c r="O718" t="s">
        <v>22</v>
      </c>
    </row>
    <row r="719" spans="1:15">
      <c r="A719" s="6" t="s">
        <v>15</v>
      </c>
      <c r="B719" s="6" t="str">
        <f>"FES1162688504"</f>
        <v>FES1162688504</v>
      </c>
      <c r="C719" s="7">
        <v>43592</v>
      </c>
      <c r="D719" s="6">
        <v>1</v>
      </c>
      <c r="E719" s="6">
        <v>2170685275</v>
      </c>
      <c r="F719" s="6" t="s">
        <v>16</v>
      </c>
      <c r="G719" s="6" t="s">
        <v>17</v>
      </c>
      <c r="H719" s="6" t="s">
        <v>17</v>
      </c>
      <c r="I719" s="6" t="s">
        <v>64</v>
      </c>
      <c r="J719" s="6" t="s">
        <v>509</v>
      </c>
      <c r="K719" s="7">
        <v>43594</v>
      </c>
      <c r="L719" s="8">
        <v>0.33402777777777781</v>
      </c>
      <c r="M719" s="6" t="s">
        <v>692</v>
      </c>
      <c r="N719" s="6" t="s">
        <v>21</v>
      </c>
      <c r="O719" s="6" t="s">
        <v>22</v>
      </c>
    </row>
    <row r="720" spans="1:15" hidden="1">
      <c r="A720" t="s">
        <v>15</v>
      </c>
      <c r="B720" t="str">
        <f>"FES1162688407"</f>
        <v>FES1162688407</v>
      </c>
      <c r="C720" s="9">
        <v>43592</v>
      </c>
      <c r="D720">
        <v>1</v>
      </c>
      <c r="E720">
        <v>2170687093</v>
      </c>
      <c r="F720" t="s">
        <v>16</v>
      </c>
      <c r="G720" t="s">
        <v>17</v>
      </c>
      <c r="H720" t="s">
        <v>132</v>
      </c>
      <c r="I720" t="s">
        <v>137</v>
      </c>
      <c r="J720" t="s">
        <v>138</v>
      </c>
      <c r="K720" s="9">
        <v>43594</v>
      </c>
      <c r="L720" s="10">
        <v>0.51597222222222217</v>
      </c>
      <c r="M720" t="s">
        <v>1373</v>
      </c>
      <c r="N720" t="s">
        <v>1374</v>
      </c>
      <c r="O720" t="s">
        <v>22</v>
      </c>
    </row>
    <row r="721" spans="1:15" hidden="1">
      <c r="A721" t="s">
        <v>15</v>
      </c>
      <c r="B721" t="str">
        <f>"FES1162688457"</f>
        <v>FES1162688457</v>
      </c>
      <c r="C721" s="9">
        <v>43592</v>
      </c>
      <c r="D721">
        <v>1</v>
      </c>
      <c r="E721">
        <v>2170687283</v>
      </c>
      <c r="F721" t="s">
        <v>16</v>
      </c>
      <c r="G721" t="s">
        <v>17</v>
      </c>
      <c r="H721" t="s">
        <v>59</v>
      </c>
      <c r="I721" t="s">
        <v>18</v>
      </c>
      <c r="J721" t="s">
        <v>19</v>
      </c>
      <c r="K721" s="9">
        <v>43594</v>
      </c>
      <c r="L721" s="10">
        <v>0.40069444444444446</v>
      </c>
      <c r="M721" t="s">
        <v>1327</v>
      </c>
      <c r="N721" t="s">
        <v>1375</v>
      </c>
      <c r="O721" t="s">
        <v>22</v>
      </c>
    </row>
    <row r="722" spans="1:15">
      <c r="A722" s="6" t="s">
        <v>15</v>
      </c>
      <c r="B722" s="6" t="str">
        <f>"FES1162688413"</f>
        <v>FES1162688413</v>
      </c>
      <c r="C722" s="7">
        <v>43592</v>
      </c>
      <c r="D722" s="6">
        <v>1</v>
      </c>
      <c r="E722" s="6">
        <v>2170687145</v>
      </c>
      <c r="F722" s="6" t="s">
        <v>16</v>
      </c>
      <c r="G722" s="6" t="s">
        <v>17</v>
      </c>
      <c r="H722" s="6" t="s">
        <v>17</v>
      </c>
      <c r="I722" s="6" t="s">
        <v>1376</v>
      </c>
      <c r="J722" s="6" t="s">
        <v>1377</v>
      </c>
      <c r="K722" s="7">
        <v>43594</v>
      </c>
      <c r="L722" s="8">
        <v>0.51180555555555551</v>
      </c>
      <c r="M722" s="6" t="s">
        <v>1378</v>
      </c>
      <c r="N722" s="6" t="s">
        <v>21</v>
      </c>
      <c r="O722" s="6" t="s">
        <v>22</v>
      </c>
    </row>
    <row r="723" spans="1:15">
      <c r="A723" s="6" t="s">
        <v>15</v>
      </c>
      <c r="B723" s="6" t="str">
        <f>"FES1162688450"</f>
        <v>FES1162688450</v>
      </c>
      <c r="C723" s="7">
        <v>43592</v>
      </c>
      <c r="D723" s="6">
        <v>1</v>
      </c>
      <c r="E723" s="6">
        <v>2170687275</v>
      </c>
      <c r="F723" s="6" t="s">
        <v>16</v>
      </c>
      <c r="G723" s="6" t="s">
        <v>17</v>
      </c>
      <c r="H723" s="6" t="s">
        <v>17</v>
      </c>
      <c r="I723" s="6" t="s">
        <v>29</v>
      </c>
      <c r="J723" s="6" t="s">
        <v>1364</v>
      </c>
      <c r="K723" s="7">
        <v>43594</v>
      </c>
      <c r="L723" s="8">
        <v>0.35416666666666669</v>
      </c>
      <c r="M723" s="6" t="s">
        <v>1365</v>
      </c>
      <c r="N723" s="6" t="s">
        <v>21</v>
      </c>
      <c r="O723" s="6" t="s">
        <v>22</v>
      </c>
    </row>
    <row r="724" spans="1:15">
      <c r="A724" s="6" t="s">
        <v>15</v>
      </c>
      <c r="B724" s="6" t="str">
        <f>"FES1162688541"</f>
        <v>FES1162688541</v>
      </c>
      <c r="C724" s="7">
        <v>43592</v>
      </c>
      <c r="D724" s="6">
        <v>1</v>
      </c>
      <c r="E724" s="6">
        <v>2170687289</v>
      </c>
      <c r="F724" s="6" t="s">
        <v>16</v>
      </c>
      <c r="G724" s="6" t="s">
        <v>17</v>
      </c>
      <c r="H724" s="6" t="s">
        <v>17</v>
      </c>
      <c r="I724" s="6" t="s">
        <v>701</v>
      </c>
      <c r="J724" s="6" t="s">
        <v>1379</v>
      </c>
      <c r="K724" s="7">
        <v>43594</v>
      </c>
      <c r="L724" s="8">
        <v>0.33333333333333331</v>
      </c>
      <c r="M724" s="6" t="s">
        <v>579</v>
      </c>
      <c r="N724" s="6" t="s">
        <v>21</v>
      </c>
      <c r="O724" s="6" t="s">
        <v>22</v>
      </c>
    </row>
    <row r="725" spans="1:15" hidden="1">
      <c r="A725" t="s">
        <v>15</v>
      </c>
      <c r="B725" t="str">
        <f>"FES1162688460"</f>
        <v>FES1162688460</v>
      </c>
      <c r="C725" s="9">
        <v>43592</v>
      </c>
      <c r="D725">
        <v>1</v>
      </c>
      <c r="E725">
        <v>2170673548</v>
      </c>
      <c r="F725" t="s">
        <v>16</v>
      </c>
      <c r="G725" t="s">
        <v>17</v>
      </c>
      <c r="H725" t="s">
        <v>141</v>
      </c>
      <c r="I725" t="s">
        <v>142</v>
      </c>
      <c r="J725" t="s">
        <v>1380</v>
      </c>
      <c r="K725" s="9">
        <v>43594</v>
      </c>
      <c r="L725" s="10">
        <v>0.3263888888888889</v>
      </c>
      <c r="M725" t="s">
        <v>1381</v>
      </c>
      <c r="N725" t="s">
        <v>1382</v>
      </c>
      <c r="O725" t="s">
        <v>22</v>
      </c>
    </row>
    <row r="726" spans="1:15">
      <c r="A726" s="6" t="s">
        <v>15</v>
      </c>
      <c r="B726" s="6" t="str">
        <f>"FES1162688410"</f>
        <v>FES1162688410</v>
      </c>
      <c r="C726" s="7">
        <v>43592</v>
      </c>
      <c r="D726" s="6">
        <v>1</v>
      </c>
      <c r="E726" s="6">
        <v>2170687105</v>
      </c>
      <c r="F726" s="6" t="s">
        <v>16</v>
      </c>
      <c r="G726" s="6" t="s">
        <v>17</v>
      </c>
      <c r="H726" s="6" t="s">
        <v>17</v>
      </c>
      <c r="I726" s="6" t="s">
        <v>26</v>
      </c>
      <c r="J726" s="6" t="s">
        <v>1383</v>
      </c>
      <c r="K726" s="7">
        <v>43594</v>
      </c>
      <c r="L726" s="8">
        <v>0.40833333333333338</v>
      </c>
      <c r="M726" s="6" t="s">
        <v>1384</v>
      </c>
      <c r="N726" s="6" t="s">
        <v>21</v>
      </c>
      <c r="O726" s="6" t="s">
        <v>22</v>
      </c>
    </row>
    <row r="727" spans="1:15">
      <c r="A727" s="6" t="s">
        <v>15</v>
      </c>
      <c r="B727" s="6" t="str">
        <f>"FES1162688439"</f>
        <v>FES1162688439</v>
      </c>
      <c r="C727" s="7">
        <v>43592</v>
      </c>
      <c r="D727" s="6">
        <v>1</v>
      </c>
      <c r="E727" s="6">
        <v>2170687245</v>
      </c>
      <c r="F727" s="6" t="s">
        <v>16</v>
      </c>
      <c r="G727" s="6" t="s">
        <v>17</v>
      </c>
      <c r="H727" s="6" t="s">
        <v>17</v>
      </c>
      <c r="I727" s="6" t="s">
        <v>103</v>
      </c>
      <c r="J727" s="6" t="s">
        <v>616</v>
      </c>
      <c r="K727" s="7">
        <v>43594</v>
      </c>
      <c r="L727" s="8">
        <v>0.4375</v>
      </c>
      <c r="M727" s="6" t="s">
        <v>325</v>
      </c>
      <c r="N727" s="6" t="s">
        <v>21</v>
      </c>
      <c r="O727" s="6" t="s">
        <v>22</v>
      </c>
    </row>
    <row r="728" spans="1:15">
      <c r="A728" s="6" t="s">
        <v>15</v>
      </c>
      <c r="B728" s="6" t="str">
        <f>"FES1162688445"</f>
        <v>FES1162688445</v>
      </c>
      <c r="C728" s="7">
        <v>43592</v>
      </c>
      <c r="D728" s="6">
        <v>1</v>
      </c>
      <c r="E728" s="6">
        <v>2170687254</v>
      </c>
      <c r="F728" s="6" t="s">
        <v>16</v>
      </c>
      <c r="G728" s="6" t="s">
        <v>17</v>
      </c>
      <c r="H728" s="6" t="s">
        <v>17</v>
      </c>
      <c r="I728" s="6" t="s">
        <v>701</v>
      </c>
      <c r="J728" s="6" t="s">
        <v>1379</v>
      </c>
      <c r="K728" s="7">
        <v>43594</v>
      </c>
      <c r="L728" s="8">
        <v>0.33333333333333331</v>
      </c>
      <c r="M728" s="6" t="s">
        <v>1385</v>
      </c>
      <c r="N728" s="6" t="s">
        <v>21</v>
      </c>
      <c r="O728" s="6" t="s">
        <v>22</v>
      </c>
    </row>
    <row r="729" spans="1:15">
      <c r="A729" s="6" t="s">
        <v>15</v>
      </c>
      <c r="B729" s="6" t="str">
        <f>"FES1162688520"</f>
        <v>FES1162688520</v>
      </c>
      <c r="C729" s="7">
        <v>43592</v>
      </c>
      <c r="D729" s="6">
        <v>1</v>
      </c>
      <c r="E729" s="6">
        <v>2170685431</v>
      </c>
      <c r="F729" s="6" t="s">
        <v>16</v>
      </c>
      <c r="G729" s="6" t="s">
        <v>17</v>
      </c>
      <c r="H729" s="6" t="s">
        <v>17</v>
      </c>
      <c r="I729" s="6" t="s">
        <v>414</v>
      </c>
      <c r="J729" s="6" t="s">
        <v>1386</v>
      </c>
      <c r="K729" s="7">
        <v>43594</v>
      </c>
      <c r="L729" s="8">
        <v>0.37638888888888888</v>
      </c>
      <c r="M729" s="6" t="s">
        <v>1387</v>
      </c>
      <c r="N729" s="6" t="s">
        <v>21</v>
      </c>
      <c r="O729" s="6" t="s">
        <v>22</v>
      </c>
    </row>
    <row r="730" spans="1:15">
      <c r="A730" s="6" t="s">
        <v>15</v>
      </c>
      <c r="B730" s="6" t="str">
        <f>"FES1162688415"</f>
        <v>FES1162688415</v>
      </c>
      <c r="C730" s="7">
        <v>43592</v>
      </c>
      <c r="D730" s="6">
        <v>1</v>
      </c>
      <c r="E730" s="6">
        <v>2170687148</v>
      </c>
      <c r="F730" s="6" t="s">
        <v>16</v>
      </c>
      <c r="G730" s="6" t="s">
        <v>17</v>
      </c>
      <c r="H730" s="6" t="s">
        <v>17</v>
      </c>
      <c r="I730" s="6" t="s">
        <v>64</v>
      </c>
      <c r="J730" s="6" t="s">
        <v>1241</v>
      </c>
      <c r="K730" s="7">
        <v>43594</v>
      </c>
      <c r="L730" s="8">
        <v>0.35694444444444445</v>
      </c>
      <c r="M730" s="6" t="s">
        <v>325</v>
      </c>
      <c r="N730" s="6" t="s">
        <v>21</v>
      </c>
      <c r="O730" s="6" t="s">
        <v>22</v>
      </c>
    </row>
    <row r="731" spans="1:15" hidden="1">
      <c r="A731" t="s">
        <v>15</v>
      </c>
      <c r="B731" t="str">
        <f>"FES1162688342"</f>
        <v>FES1162688342</v>
      </c>
      <c r="C731" s="9">
        <v>43592</v>
      </c>
      <c r="D731">
        <v>2</v>
      </c>
      <c r="E731">
        <v>2170686174</v>
      </c>
      <c r="F731" t="s">
        <v>58</v>
      </c>
      <c r="G731" t="s">
        <v>59</v>
      </c>
      <c r="H731" t="s">
        <v>59</v>
      </c>
      <c r="I731" t="s">
        <v>64</v>
      </c>
      <c r="J731" t="s">
        <v>513</v>
      </c>
      <c r="K731" s="9">
        <v>43594</v>
      </c>
      <c r="L731" s="10">
        <v>0.4375</v>
      </c>
      <c r="M731" t="s">
        <v>1388</v>
      </c>
      <c r="N731" t="s">
        <v>1389</v>
      </c>
      <c r="O731" t="s">
        <v>22</v>
      </c>
    </row>
    <row r="732" spans="1:15" hidden="1">
      <c r="A732" t="s">
        <v>15</v>
      </c>
      <c r="B732" t="str">
        <f>"FES1162688324"</f>
        <v>FES1162688324</v>
      </c>
      <c r="C732" s="9">
        <v>43592</v>
      </c>
      <c r="D732">
        <v>2</v>
      </c>
      <c r="E732">
        <v>2170686751</v>
      </c>
      <c r="F732" t="s">
        <v>58</v>
      </c>
      <c r="G732" t="s">
        <v>59</v>
      </c>
      <c r="H732" t="s">
        <v>59</v>
      </c>
      <c r="I732" t="s">
        <v>64</v>
      </c>
      <c r="J732" t="s">
        <v>1390</v>
      </c>
      <c r="K732" s="9">
        <v>43594</v>
      </c>
      <c r="L732" s="10">
        <v>0.35416666666666669</v>
      </c>
      <c r="M732" t="s">
        <v>1391</v>
      </c>
      <c r="N732" t="s">
        <v>1392</v>
      </c>
      <c r="O732" t="s">
        <v>22</v>
      </c>
    </row>
    <row r="733" spans="1:15">
      <c r="A733" s="6" t="s">
        <v>15</v>
      </c>
      <c r="B733" s="6" t="str">
        <f>"FES1162688440"</f>
        <v>FES1162688440</v>
      </c>
      <c r="C733" s="7">
        <v>43592</v>
      </c>
      <c r="D733" s="6">
        <v>1</v>
      </c>
      <c r="E733" s="6">
        <v>2170687248</v>
      </c>
      <c r="F733" s="6" t="s">
        <v>16</v>
      </c>
      <c r="G733" s="6" t="s">
        <v>17</v>
      </c>
      <c r="H733" s="6" t="s">
        <v>17</v>
      </c>
      <c r="I733" s="6" t="s">
        <v>29</v>
      </c>
      <c r="J733" s="6" t="s">
        <v>109</v>
      </c>
      <c r="K733" s="7">
        <v>43594</v>
      </c>
      <c r="L733" s="8">
        <v>0.36736111111111108</v>
      </c>
      <c r="M733" s="6" t="s">
        <v>1393</v>
      </c>
      <c r="N733" s="6" t="s">
        <v>21</v>
      </c>
      <c r="O733" s="6" t="s">
        <v>22</v>
      </c>
    </row>
    <row r="734" spans="1:15" hidden="1">
      <c r="A734" t="s">
        <v>15</v>
      </c>
      <c r="B734" t="str">
        <f>"FES1162688386"</f>
        <v>FES1162688386</v>
      </c>
      <c r="C734" s="9">
        <v>43592</v>
      </c>
      <c r="D734">
        <v>1</v>
      </c>
      <c r="E734">
        <v>2170685875</v>
      </c>
      <c r="F734" t="s">
        <v>16</v>
      </c>
      <c r="G734" t="s">
        <v>17</v>
      </c>
      <c r="H734" t="s">
        <v>43</v>
      </c>
      <c r="I734" t="s">
        <v>44</v>
      </c>
      <c r="J734" t="s">
        <v>51</v>
      </c>
      <c r="K734" s="9">
        <v>43594</v>
      </c>
      <c r="L734" s="10">
        <v>0.41666666666666669</v>
      </c>
      <c r="M734" t="s">
        <v>1394</v>
      </c>
      <c r="N734" t="s">
        <v>1395</v>
      </c>
      <c r="O734" t="s">
        <v>22</v>
      </c>
    </row>
    <row r="735" spans="1:15" hidden="1">
      <c r="A735" t="s">
        <v>15</v>
      </c>
      <c r="B735" t="str">
        <f>"FES1162688417"</f>
        <v>FES1162688417</v>
      </c>
      <c r="C735" s="9">
        <v>43592</v>
      </c>
      <c r="D735">
        <v>1</v>
      </c>
      <c r="E735">
        <v>2170687198</v>
      </c>
      <c r="F735" t="s">
        <v>16</v>
      </c>
      <c r="G735" t="s">
        <v>17</v>
      </c>
      <c r="H735" t="s">
        <v>43</v>
      </c>
      <c r="I735" t="s">
        <v>44</v>
      </c>
      <c r="J735" t="s">
        <v>1396</v>
      </c>
      <c r="K735" s="9">
        <v>43594</v>
      </c>
      <c r="L735" s="10">
        <v>0.41666666666666669</v>
      </c>
      <c r="M735" t="s">
        <v>1397</v>
      </c>
      <c r="N735" t="s">
        <v>1398</v>
      </c>
      <c r="O735" t="s">
        <v>22</v>
      </c>
    </row>
    <row r="736" spans="1:15" hidden="1">
      <c r="A736" t="s">
        <v>15</v>
      </c>
      <c r="B736" t="str">
        <f>"FES1162688383"</f>
        <v>FES1162688383</v>
      </c>
      <c r="C736" s="9">
        <v>43592</v>
      </c>
      <c r="D736">
        <v>1</v>
      </c>
      <c r="E736">
        <v>2170685820</v>
      </c>
      <c r="F736" t="s">
        <v>16</v>
      </c>
      <c r="G736" t="s">
        <v>17</v>
      </c>
      <c r="H736" t="s">
        <v>43</v>
      </c>
      <c r="I736" t="s">
        <v>75</v>
      </c>
      <c r="J736" t="s">
        <v>222</v>
      </c>
      <c r="K736" s="9">
        <v>43594</v>
      </c>
      <c r="L736" s="10">
        <v>0.46527777777777773</v>
      </c>
      <c r="M736" t="s">
        <v>223</v>
      </c>
      <c r="N736" t="s">
        <v>1399</v>
      </c>
      <c r="O736" t="s">
        <v>22</v>
      </c>
    </row>
    <row r="737" spans="1:15" hidden="1">
      <c r="A737" t="s">
        <v>15</v>
      </c>
      <c r="B737" t="str">
        <f>"FES1162688371"</f>
        <v>FES1162688371</v>
      </c>
      <c r="C737" s="9">
        <v>43592</v>
      </c>
      <c r="D737">
        <v>1</v>
      </c>
      <c r="E737">
        <v>2170684135</v>
      </c>
      <c r="F737" t="s">
        <v>16</v>
      </c>
      <c r="G737" t="s">
        <v>17</v>
      </c>
      <c r="H737" t="s">
        <v>43</v>
      </c>
      <c r="I737" t="s">
        <v>44</v>
      </c>
      <c r="J737" t="s">
        <v>72</v>
      </c>
      <c r="K737" s="9">
        <v>43594</v>
      </c>
      <c r="L737" s="10">
        <v>0.41666666666666669</v>
      </c>
      <c r="M737" t="s">
        <v>73</v>
      </c>
      <c r="N737" t="s">
        <v>1400</v>
      </c>
      <c r="O737" t="s">
        <v>22</v>
      </c>
    </row>
    <row r="738" spans="1:15" hidden="1">
      <c r="A738" t="s">
        <v>15</v>
      </c>
      <c r="B738" t="str">
        <f>"FES1162688428"</f>
        <v>FES1162688428</v>
      </c>
      <c r="C738" s="9">
        <v>43592</v>
      </c>
      <c r="D738">
        <v>1</v>
      </c>
      <c r="E738">
        <v>2170687227</v>
      </c>
      <c r="F738" t="s">
        <v>16</v>
      </c>
      <c r="G738" t="s">
        <v>17</v>
      </c>
      <c r="H738" t="s">
        <v>43</v>
      </c>
      <c r="I738" t="s">
        <v>44</v>
      </c>
      <c r="J738" t="s">
        <v>128</v>
      </c>
      <c r="K738" s="9">
        <v>43594</v>
      </c>
      <c r="L738" s="10">
        <v>0.41666666666666669</v>
      </c>
      <c r="M738" t="s">
        <v>1401</v>
      </c>
      <c r="N738" t="s">
        <v>1402</v>
      </c>
      <c r="O738" t="s">
        <v>22</v>
      </c>
    </row>
    <row r="739" spans="1:15" hidden="1">
      <c r="A739" t="s">
        <v>15</v>
      </c>
      <c r="B739" t="str">
        <f>"FES1162688393"</f>
        <v>FES1162688393</v>
      </c>
      <c r="C739" s="9">
        <v>43592</v>
      </c>
      <c r="D739">
        <v>1</v>
      </c>
      <c r="E739">
        <v>2170686537</v>
      </c>
      <c r="F739" t="s">
        <v>16</v>
      </c>
      <c r="G739" t="s">
        <v>17</v>
      </c>
      <c r="H739" t="s">
        <v>141</v>
      </c>
      <c r="I739" t="s">
        <v>433</v>
      </c>
      <c r="J739" t="s">
        <v>609</v>
      </c>
      <c r="K739" s="9">
        <v>43594</v>
      </c>
      <c r="L739" s="10">
        <v>0.38125000000000003</v>
      </c>
      <c r="M739" t="s">
        <v>1403</v>
      </c>
      <c r="N739" t="s">
        <v>1404</v>
      </c>
      <c r="O739" t="s">
        <v>22</v>
      </c>
    </row>
    <row r="740" spans="1:15" hidden="1">
      <c r="A740" t="s">
        <v>15</v>
      </c>
      <c r="B740" t="str">
        <f>"FES1162688384"</f>
        <v>FES1162688384</v>
      </c>
      <c r="C740" s="9">
        <v>43592</v>
      </c>
      <c r="D740">
        <v>1</v>
      </c>
      <c r="E740">
        <v>2170685823</v>
      </c>
      <c r="F740" t="s">
        <v>16</v>
      </c>
      <c r="G740" t="s">
        <v>17</v>
      </c>
      <c r="H740" t="s">
        <v>440</v>
      </c>
      <c r="I740" t="s">
        <v>441</v>
      </c>
      <c r="J740" t="s">
        <v>317</v>
      </c>
      <c r="K740" s="9">
        <v>43594</v>
      </c>
      <c r="L740" s="10">
        <v>0.39583333333333331</v>
      </c>
      <c r="M740" t="s">
        <v>444</v>
      </c>
      <c r="N740" t="s">
        <v>1405</v>
      </c>
      <c r="O740" t="s">
        <v>22</v>
      </c>
    </row>
    <row r="741" spans="1:15" hidden="1">
      <c r="A741" t="s">
        <v>15</v>
      </c>
      <c r="B741" t="str">
        <f>"FES1162688528"</f>
        <v>FES1162688528</v>
      </c>
      <c r="C741" s="9">
        <v>43592</v>
      </c>
      <c r="D741">
        <v>1</v>
      </c>
      <c r="E741">
        <v>2170685522</v>
      </c>
      <c r="F741" t="s">
        <v>16</v>
      </c>
      <c r="G741" t="s">
        <v>17</v>
      </c>
      <c r="H741" t="s">
        <v>59</v>
      </c>
      <c r="I741" t="s">
        <v>29</v>
      </c>
      <c r="J741" t="s">
        <v>30</v>
      </c>
      <c r="K741" s="9">
        <v>43594</v>
      </c>
      <c r="L741" s="10">
        <v>0.33333333333333331</v>
      </c>
      <c r="M741" t="s">
        <v>1406</v>
      </c>
      <c r="N741" t="s">
        <v>1407</v>
      </c>
      <c r="O741" t="s">
        <v>22</v>
      </c>
    </row>
    <row r="742" spans="1:15" hidden="1">
      <c r="A742" t="s">
        <v>15</v>
      </c>
      <c r="B742" t="str">
        <f>"FES1162688455"</f>
        <v>FES1162688455</v>
      </c>
      <c r="C742" s="9">
        <v>43592</v>
      </c>
      <c r="D742">
        <v>1</v>
      </c>
      <c r="E742">
        <v>2170687280</v>
      </c>
      <c r="F742" t="s">
        <v>16</v>
      </c>
      <c r="G742" t="s">
        <v>17</v>
      </c>
      <c r="H742" t="s">
        <v>132</v>
      </c>
      <c r="I742" t="s">
        <v>133</v>
      </c>
      <c r="J742" t="s">
        <v>247</v>
      </c>
      <c r="K742" s="9">
        <v>43594</v>
      </c>
      <c r="L742" s="10">
        <v>0.375</v>
      </c>
      <c r="M742" t="s">
        <v>248</v>
      </c>
      <c r="N742" t="s">
        <v>1408</v>
      </c>
      <c r="O742" t="s">
        <v>22</v>
      </c>
    </row>
    <row r="743" spans="1:15" hidden="1">
      <c r="A743" t="s">
        <v>15</v>
      </c>
      <c r="B743" t="str">
        <f>"FES1162688463"</f>
        <v>FES1162688463</v>
      </c>
      <c r="C743" s="9">
        <v>43592</v>
      </c>
      <c r="D743">
        <v>1</v>
      </c>
      <c r="E743">
        <v>217683427</v>
      </c>
      <c r="F743" t="s">
        <v>16</v>
      </c>
      <c r="G743" t="s">
        <v>17</v>
      </c>
      <c r="H743" t="s">
        <v>141</v>
      </c>
      <c r="I743" t="s">
        <v>142</v>
      </c>
      <c r="J743" t="s">
        <v>864</v>
      </c>
      <c r="K743" s="9">
        <v>43594</v>
      </c>
      <c r="L743" s="10">
        <v>0.37222222222222223</v>
      </c>
      <c r="M743" t="s">
        <v>1409</v>
      </c>
      <c r="N743" t="s">
        <v>1410</v>
      </c>
      <c r="O743" t="s">
        <v>22</v>
      </c>
    </row>
    <row r="744" spans="1:15" hidden="1">
      <c r="A744" t="s">
        <v>15</v>
      </c>
      <c r="B744" t="str">
        <f>"FES1162688430"</f>
        <v>FES1162688430</v>
      </c>
      <c r="C744" s="9">
        <v>43592</v>
      </c>
      <c r="D744">
        <v>1</v>
      </c>
      <c r="E744">
        <v>2170682739</v>
      </c>
      <c r="F744" t="s">
        <v>16</v>
      </c>
      <c r="G744" t="s">
        <v>17</v>
      </c>
      <c r="H744" t="s">
        <v>141</v>
      </c>
      <c r="I744" t="s">
        <v>142</v>
      </c>
      <c r="J744" t="s">
        <v>1411</v>
      </c>
      <c r="K744" s="9">
        <v>43594</v>
      </c>
      <c r="L744" s="10">
        <v>0.38125000000000003</v>
      </c>
      <c r="M744" t="s">
        <v>1412</v>
      </c>
      <c r="N744" t="s">
        <v>1413</v>
      </c>
      <c r="O744" t="s">
        <v>22</v>
      </c>
    </row>
    <row r="745" spans="1:15">
      <c r="A745" s="6" t="s">
        <v>15</v>
      </c>
      <c r="B745" s="6" t="str">
        <f>"FES1162688485"</f>
        <v>FES1162688485</v>
      </c>
      <c r="C745" s="7">
        <v>43592</v>
      </c>
      <c r="D745" s="6">
        <v>1</v>
      </c>
      <c r="E745" s="6">
        <v>2170685134</v>
      </c>
      <c r="F745" s="6" t="s">
        <v>16</v>
      </c>
      <c r="G745" s="6" t="s">
        <v>17</v>
      </c>
      <c r="H745" s="6" t="s">
        <v>17</v>
      </c>
      <c r="I745" s="6" t="s">
        <v>421</v>
      </c>
      <c r="J745" s="6" t="s">
        <v>422</v>
      </c>
      <c r="K745" s="7">
        <v>43594</v>
      </c>
      <c r="L745" s="8">
        <v>0.36249999999999999</v>
      </c>
      <c r="M745" s="6" t="s">
        <v>1414</v>
      </c>
      <c r="N745" s="6" t="s">
        <v>21</v>
      </c>
      <c r="O745" s="6" t="s">
        <v>22</v>
      </c>
    </row>
    <row r="746" spans="1:15" hidden="1">
      <c r="A746" t="s">
        <v>15</v>
      </c>
      <c r="B746" t="str">
        <f>"FES1162688387"</f>
        <v>FES1162688387</v>
      </c>
      <c r="C746" s="9">
        <v>43592</v>
      </c>
      <c r="D746">
        <v>1</v>
      </c>
      <c r="E746">
        <v>2170685916</v>
      </c>
      <c r="F746" t="s">
        <v>16</v>
      </c>
      <c r="G746" t="s">
        <v>17</v>
      </c>
      <c r="H746" t="s">
        <v>132</v>
      </c>
      <c r="I746" t="s">
        <v>133</v>
      </c>
      <c r="J746" t="s">
        <v>189</v>
      </c>
      <c r="K746" s="9">
        <v>43594</v>
      </c>
      <c r="L746" s="10">
        <v>0.43263888888888885</v>
      </c>
      <c r="M746" t="s">
        <v>1415</v>
      </c>
      <c r="N746" t="s">
        <v>1416</v>
      </c>
      <c r="O746" t="s">
        <v>22</v>
      </c>
    </row>
    <row r="747" spans="1:15" hidden="1">
      <c r="A747" t="s">
        <v>15</v>
      </c>
      <c r="B747" t="str">
        <f>"FES1162688373"</f>
        <v>FES1162688373</v>
      </c>
      <c r="C747" s="9">
        <v>43592</v>
      </c>
      <c r="D747">
        <v>1</v>
      </c>
      <c r="E747">
        <v>2170684314</v>
      </c>
      <c r="F747" t="s">
        <v>16</v>
      </c>
      <c r="G747" t="s">
        <v>17</v>
      </c>
      <c r="H747" t="s">
        <v>440</v>
      </c>
      <c r="I747" t="s">
        <v>441</v>
      </c>
      <c r="J747" t="s">
        <v>317</v>
      </c>
      <c r="K747" s="9">
        <v>43594</v>
      </c>
      <c r="L747" s="10">
        <v>0.53680555555555554</v>
      </c>
      <c r="M747" t="s">
        <v>444</v>
      </c>
      <c r="N747" t="s">
        <v>1417</v>
      </c>
      <c r="O747" t="s">
        <v>22</v>
      </c>
    </row>
    <row r="748" spans="1:15" hidden="1">
      <c r="A748" t="s">
        <v>15</v>
      </c>
      <c r="B748" t="str">
        <f>"FES1162688466"</f>
        <v>FES1162688466</v>
      </c>
      <c r="C748" s="9">
        <v>43592</v>
      </c>
      <c r="D748">
        <v>1</v>
      </c>
      <c r="E748">
        <v>2170684209</v>
      </c>
      <c r="F748" t="s">
        <v>16</v>
      </c>
      <c r="G748" t="s">
        <v>17</v>
      </c>
      <c r="H748" t="s">
        <v>132</v>
      </c>
      <c r="I748" t="s">
        <v>133</v>
      </c>
      <c r="J748" t="s">
        <v>182</v>
      </c>
      <c r="K748" s="9">
        <v>43594</v>
      </c>
      <c r="L748" s="10">
        <v>0.37152777777777773</v>
      </c>
      <c r="M748" t="s">
        <v>1418</v>
      </c>
      <c r="N748" t="s">
        <v>1408</v>
      </c>
      <c r="O748" t="s">
        <v>22</v>
      </c>
    </row>
    <row r="749" spans="1:15">
      <c r="A749" s="6" t="s">
        <v>15</v>
      </c>
      <c r="B749" s="6" t="str">
        <f>"FES1162688419"</f>
        <v>FES1162688419</v>
      </c>
      <c r="C749" s="7">
        <v>43592</v>
      </c>
      <c r="D749" s="6">
        <v>1</v>
      </c>
      <c r="E749" s="6">
        <v>2170687210</v>
      </c>
      <c r="F749" s="6" t="s">
        <v>16</v>
      </c>
      <c r="G749" s="6" t="s">
        <v>17</v>
      </c>
      <c r="H749" s="6" t="s">
        <v>17</v>
      </c>
      <c r="I749" s="6" t="s">
        <v>148</v>
      </c>
      <c r="J749" s="6" t="s">
        <v>417</v>
      </c>
      <c r="K749" s="7">
        <v>43594</v>
      </c>
      <c r="L749" s="8">
        <v>0.39583333333333331</v>
      </c>
      <c r="M749" s="6" t="s">
        <v>1419</v>
      </c>
      <c r="N749" s="6" t="s">
        <v>21</v>
      </c>
      <c r="O749" s="6" t="s">
        <v>22</v>
      </c>
    </row>
    <row r="750" spans="1:15" hidden="1">
      <c r="A750" t="s">
        <v>15</v>
      </c>
      <c r="B750" t="str">
        <f>"FES1162688427"</f>
        <v>FES1162688427</v>
      </c>
      <c r="C750" s="9">
        <v>43592</v>
      </c>
      <c r="D750">
        <v>1</v>
      </c>
      <c r="E750">
        <v>2170687226</v>
      </c>
      <c r="F750" t="s">
        <v>16</v>
      </c>
      <c r="G750" t="s">
        <v>17</v>
      </c>
      <c r="H750" t="s">
        <v>1420</v>
      </c>
      <c r="I750" t="s">
        <v>1421</v>
      </c>
      <c r="J750" t="s">
        <v>1422</v>
      </c>
      <c r="K750" s="9">
        <v>43594</v>
      </c>
      <c r="L750" s="10">
        <v>0.41666666666666669</v>
      </c>
      <c r="M750" t="s">
        <v>1423</v>
      </c>
      <c r="N750" t="s">
        <v>1424</v>
      </c>
      <c r="O750" t="s">
        <v>22</v>
      </c>
    </row>
    <row r="751" spans="1:15" hidden="1">
      <c r="A751" t="s">
        <v>15</v>
      </c>
      <c r="B751" t="str">
        <f>"FES1162688372"</f>
        <v>FES1162688372</v>
      </c>
      <c r="C751" s="9">
        <v>43592</v>
      </c>
      <c r="D751">
        <v>1</v>
      </c>
      <c r="E751">
        <v>2170684206</v>
      </c>
      <c r="F751" t="s">
        <v>16</v>
      </c>
      <c r="G751" t="s">
        <v>17</v>
      </c>
      <c r="H751" t="s">
        <v>141</v>
      </c>
      <c r="I751" t="s">
        <v>458</v>
      </c>
      <c r="J751" t="s">
        <v>459</v>
      </c>
      <c r="K751" s="9">
        <v>43594</v>
      </c>
      <c r="L751" s="10">
        <v>0.35416666666666669</v>
      </c>
      <c r="M751" t="s">
        <v>1425</v>
      </c>
      <c r="N751" t="s">
        <v>1426</v>
      </c>
      <c r="O751" t="s">
        <v>22</v>
      </c>
    </row>
    <row r="752" spans="1:15">
      <c r="A752" s="6" t="s">
        <v>15</v>
      </c>
      <c r="B752" s="6" t="str">
        <f>"FES1162688404"</f>
        <v>FES1162688404</v>
      </c>
      <c r="C752" s="7">
        <v>43592</v>
      </c>
      <c r="D752" s="6">
        <v>1</v>
      </c>
      <c r="E752" s="6">
        <v>2170687046</v>
      </c>
      <c r="F752" s="6" t="s">
        <v>16</v>
      </c>
      <c r="G752" s="6" t="s">
        <v>17</v>
      </c>
      <c r="H752" s="6" t="s">
        <v>17</v>
      </c>
      <c r="I752" s="6" t="s">
        <v>23</v>
      </c>
      <c r="J752" s="6" t="s">
        <v>483</v>
      </c>
      <c r="K752" s="7">
        <v>43594</v>
      </c>
      <c r="L752" s="8">
        <v>0.35138888888888892</v>
      </c>
      <c r="M752" s="6" t="s">
        <v>1016</v>
      </c>
      <c r="N752" s="6" t="s">
        <v>21</v>
      </c>
      <c r="O752" s="6" t="s">
        <v>22</v>
      </c>
    </row>
    <row r="753" spans="1:15" hidden="1">
      <c r="A753" t="s">
        <v>15</v>
      </c>
      <c r="B753" t="str">
        <f>"FES1162688391"</f>
        <v>FES1162688391</v>
      </c>
      <c r="C753" s="9">
        <v>43592</v>
      </c>
      <c r="D753">
        <v>1</v>
      </c>
      <c r="E753">
        <v>2170686460</v>
      </c>
      <c r="F753" t="s">
        <v>16</v>
      </c>
      <c r="G753" t="s">
        <v>17</v>
      </c>
      <c r="H753" t="s">
        <v>43</v>
      </c>
      <c r="I753" t="s">
        <v>44</v>
      </c>
      <c r="J753" t="s">
        <v>51</v>
      </c>
      <c r="K753" s="9">
        <v>43594</v>
      </c>
      <c r="L753" s="10">
        <v>0.41666666666666669</v>
      </c>
      <c r="M753" t="s">
        <v>1394</v>
      </c>
      <c r="N753" t="s">
        <v>1427</v>
      </c>
      <c r="O753" t="s">
        <v>22</v>
      </c>
    </row>
    <row r="754" spans="1:15" hidden="1">
      <c r="A754" t="s">
        <v>15</v>
      </c>
      <c r="B754" t="str">
        <f>"FES1162688423"</f>
        <v>FES1162688423</v>
      </c>
      <c r="C754" s="9">
        <v>43592</v>
      </c>
      <c r="D754">
        <v>1</v>
      </c>
      <c r="E754">
        <v>2170687220</v>
      </c>
      <c r="F754" t="s">
        <v>16</v>
      </c>
      <c r="G754" t="s">
        <v>17</v>
      </c>
      <c r="H754" t="s">
        <v>43</v>
      </c>
      <c r="I754" t="s">
        <v>44</v>
      </c>
      <c r="J754" t="s">
        <v>51</v>
      </c>
      <c r="K754" s="9">
        <v>43594</v>
      </c>
      <c r="L754" s="10">
        <v>0.41666666666666669</v>
      </c>
      <c r="M754" t="s">
        <v>1394</v>
      </c>
      <c r="N754" t="s">
        <v>1428</v>
      </c>
      <c r="O754" t="s">
        <v>22</v>
      </c>
    </row>
    <row r="755" spans="1:15" hidden="1">
      <c r="A755" t="s">
        <v>15</v>
      </c>
      <c r="B755" t="str">
        <f>"FES1162688286"</f>
        <v>FES1162688286</v>
      </c>
      <c r="C755" s="9">
        <v>43592</v>
      </c>
      <c r="D755">
        <v>1</v>
      </c>
      <c r="E755">
        <v>2170687136</v>
      </c>
      <c r="F755" t="s">
        <v>16</v>
      </c>
      <c r="G755" t="s">
        <v>17</v>
      </c>
      <c r="H755" t="s">
        <v>37</v>
      </c>
      <c r="I755" t="s">
        <v>38</v>
      </c>
      <c r="J755" t="s">
        <v>1429</v>
      </c>
      <c r="K755" s="9">
        <v>43594</v>
      </c>
      <c r="L755" s="10">
        <v>0.41666666666666669</v>
      </c>
      <c r="M755" t="s">
        <v>1430</v>
      </c>
      <c r="N755" t="s">
        <v>1431</v>
      </c>
      <c r="O755" t="s">
        <v>22</v>
      </c>
    </row>
    <row r="756" spans="1:15" hidden="1">
      <c r="A756" t="s">
        <v>15</v>
      </c>
      <c r="B756" t="str">
        <f>"FES1162688260"</f>
        <v>FES1162688260</v>
      </c>
      <c r="C756" s="9">
        <v>43592</v>
      </c>
      <c r="D756">
        <v>1</v>
      </c>
      <c r="E756">
        <v>2170687091</v>
      </c>
      <c r="F756" t="s">
        <v>16</v>
      </c>
      <c r="G756" t="s">
        <v>17</v>
      </c>
      <c r="H756" t="s">
        <v>32</v>
      </c>
      <c r="I756" t="s">
        <v>33</v>
      </c>
      <c r="J756" t="s">
        <v>960</v>
      </c>
      <c r="K756" s="9">
        <v>43594</v>
      </c>
      <c r="L756" s="10">
        <v>0.38194444444444442</v>
      </c>
      <c r="M756" t="s">
        <v>961</v>
      </c>
      <c r="N756" t="s">
        <v>1432</v>
      </c>
      <c r="O756" t="s">
        <v>22</v>
      </c>
    </row>
    <row r="757" spans="1:15">
      <c r="A757" s="6" t="s">
        <v>15</v>
      </c>
      <c r="B757" s="6" t="str">
        <f>"FES1162688405"</f>
        <v>FES1162688405</v>
      </c>
      <c r="C757" s="7">
        <v>43592</v>
      </c>
      <c r="D757" s="6">
        <v>1</v>
      </c>
      <c r="E757" s="6">
        <v>2170687064</v>
      </c>
      <c r="F757" s="6" t="s">
        <v>1433</v>
      </c>
      <c r="G757" s="6" t="s">
        <v>17</v>
      </c>
      <c r="H757" s="6" t="s">
        <v>17</v>
      </c>
      <c r="I757" s="6" t="s">
        <v>64</v>
      </c>
      <c r="J757" s="6" t="s">
        <v>1434</v>
      </c>
      <c r="K757" s="7">
        <v>43594</v>
      </c>
      <c r="L757" s="8">
        <v>0.30138888888888887</v>
      </c>
      <c r="M757" s="6" t="s">
        <v>1435</v>
      </c>
      <c r="N757" s="6" t="s">
        <v>21</v>
      </c>
      <c r="O757" s="6" t="s">
        <v>494</v>
      </c>
    </row>
    <row r="758" spans="1:15" hidden="1">
      <c r="A758" t="s">
        <v>15</v>
      </c>
      <c r="B758" t="str">
        <f>"FES1162688544"</f>
        <v>FES1162688544</v>
      </c>
      <c r="C758" s="9">
        <v>43592</v>
      </c>
      <c r="D758">
        <v>1</v>
      </c>
      <c r="E758">
        <v>2170686944</v>
      </c>
      <c r="F758" t="s">
        <v>16</v>
      </c>
      <c r="G758" t="s">
        <v>17</v>
      </c>
      <c r="H758" t="s">
        <v>141</v>
      </c>
      <c r="I758" t="s">
        <v>185</v>
      </c>
      <c r="J758" t="s">
        <v>906</v>
      </c>
      <c r="K758" s="9">
        <v>43594</v>
      </c>
      <c r="L758" s="10">
        <v>0.38680555555555557</v>
      </c>
      <c r="M758" t="s">
        <v>211</v>
      </c>
      <c r="N758" t="s">
        <v>1436</v>
      </c>
      <c r="O758" t="s">
        <v>22</v>
      </c>
    </row>
    <row r="759" spans="1:15" hidden="1">
      <c r="A759" t="s">
        <v>15</v>
      </c>
      <c r="B759" t="str">
        <f>"FES1162688395"</f>
        <v>FES1162688395</v>
      </c>
      <c r="C759" s="9">
        <v>43592</v>
      </c>
      <c r="D759">
        <v>1</v>
      </c>
      <c r="E759">
        <v>2170686944</v>
      </c>
      <c r="F759" t="s">
        <v>16</v>
      </c>
      <c r="G759" t="s">
        <v>17</v>
      </c>
      <c r="H759" t="s">
        <v>141</v>
      </c>
      <c r="I759" t="s">
        <v>185</v>
      </c>
      <c r="J759" t="s">
        <v>906</v>
      </c>
      <c r="K759" s="9">
        <v>43594</v>
      </c>
      <c r="L759" s="10">
        <v>0.38680555555555557</v>
      </c>
      <c r="M759" t="s">
        <v>211</v>
      </c>
      <c r="N759" t="s">
        <v>1437</v>
      </c>
      <c r="O759" t="s">
        <v>22</v>
      </c>
    </row>
    <row r="760" spans="1:15" hidden="1">
      <c r="A760" t="s">
        <v>15</v>
      </c>
      <c r="B760" t="str">
        <f>"FES1162688328"</f>
        <v>FES1162688328</v>
      </c>
      <c r="C760" s="9">
        <v>43592</v>
      </c>
      <c r="D760">
        <v>2</v>
      </c>
      <c r="E760">
        <v>2170686934</v>
      </c>
      <c r="F760" t="s">
        <v>16</v>
      </c>
      <c r="G760" t="s">
        <v>17</v>
      </c>
      <c r="H760" t="s">
        <v>32</v>
      </c>
      <c r="I760" t="s">
        <v>33</v>
      </c>
      <c r="J760" t="s">
        <v>1438</v>
      </c>
      <c r="K760" s="9">
        <v>43598</v>
      </c>
      <c r="L760" s="10">
        <v>0.37152777777777773</v>
      </c>
      <c r="M760" t="s">
        <v>1439</v>
      </c>
      <c r="N760" t="s">
        <v>1440</v>
      </c>
      <c r="O760" t="s">
        <v>22</v>
      </c>
    </row>
    <row r="761" spans="1:15" hidden="1">
      <c r="A761" t="s">
        <v>15</v>
      </c>
      <c r="B761" t="str">
        <f>"FES1162688267"</f>
        <v>FES1162688267</v>
      </c>
      <c r="C761" s="9">
        <v>43592</v>
      </c>
      <c r="D761">
        <v>1</v>
      </c>
      <c r="E761">
        <v>2170687112</v>
      </c>
      <c r="F761" t="s">
        <v>16</v>
      </c>
      <c r="G761" t="s">
        <v>17</v>
      </c>
      <c r="H761" t="s">
        <v>37</v>
      </c>
      <c r="I761" t="s">
        <v>38</v>
      </c>
      <c r="J761" t="s">
        <v>39</v>
      </c>
      <c r="K761" s="9">
        <v>43594</v>
      </c>
      <c r="L761" s="10">
        <v>0.3520833333333333</v>
      </c>
      <c r="M761" t="s">
        <v>1441</v>
      </c>
      <c r="N761" t="s">
        <v>1442</v>
      </c>
      <c r="O761" t="s">
        <v>22</v>
      </c>
    </row>
    <row r="762" spans="1:15" hidden="1">
      <c r="A762" t="s">
        <v>15</v>
      </c>
      <c r="B762" t="str">
        <f>"FES1162688364"</f>
        <v>FES1162688364</v>
      </c>
      <c r="C762" s="9">
        <v>43592</v>
      </c>
      <c r="D762">
        <v>1</v>
      </c>
      <c r="E762">
        <v>2170683447</v>
      </c>
      <c r="F762" t="s">
        <v>16</v>
      </c>
      <c r="G762" t="s">
        <v>17</v>
      </c>
      <c r="H762" t="s">
        <v>43</v>
      </c>
      <c r="I762" t="s">
        <v>54</v>
      </c>
      <c r="J762" t="s">
        <v>216</v>
      </c>
      <c r="K762" s="9">
        <v>43594</v>
      </c>
      <c r="L762" s="10">
        <v>0.41666666666666669</v>
      </c>
      <c r="M762" t="s">
        <v>1443</v>
      </c>
      <c r="N762" t="s">
        <v>1444</v>
      </c>
      <c r="O762" t="s">
        <v>22</v>
      </c>
    </row>
    <row r="763" spans="1:15" hidden="1">
      <c r="A763" t="s">
        <v>15</v>
      </c>
      <c r="B763" t="str">
        <f>"FES1162688363"</f>
        <v>FES1162688363</v>
      </c>
      <c r="C763" s="9">
        <v>43592</v>
      </c>
      <c r="D763">
        <v>3</v>
      </c>
      <c r="E763">
        <v>2170683003</v>
      </c>
      <c r="F763" t="s">
        <v>58</v>
      </c>
      <c r="G763" t="s">
        <v>59</v>
      </c>
      <c r="H763" t="s">
        <v>43</v>
      </c>
      <c r="I763" t="s">
        <v>54</v>
      </c>
      <c r="J763" t="s">
        <v>216</v>
      </c>
      <c r="K763" s="9">
        <v>43594</v>
      </c>
      <c r="L763" s="10">
        <v>0.41666666666666669</v>
      </c>
      <c r="M763" t="s">
        <v>1445</v>
      </c>
      <c r="N763" t="s">
        <v>1446</v>
      </c>
      <c r="O763" t="s">
        <v>22</v>
      </c>
    </row>
    <row r="764" spans="1:15" hidden="1">
      <c r="A764" t="s">
        <v>15</v>
      </c>
      <c r="B764" t="str">
        <f>"FES1162688549"</f>
        <v>FES1162688549</v>
      </c>
      <c r="C764" s="9">
        <v>43592</v>
      </c>
      <c r="D764">
        <v>1</v>
      </c>
      <c r="E764">
        <v>2170683427</v>
      </c>
      <c r="F764" t="s">
        <v>16</v>
      </c>
      <c r="G764" t="s">
        <v>17</v>
      </c>
      <c r="H764" t="s">
        <v>141</v>
      </c>
      <c r="I764" t="s">
        <v>142</v>
      </c>
      <c r="J764" t="s">
        <v>864</v>
      </c>
      <c r="K764" s="9">
        <v>43594</v>
      </c>
      <c r="L764" s="10">
        <v>0.37222222222222223</v>
      </c>
      <c r="M764" t="s">
        <v>1409</v>
      </c>
      <c r="N764" t="s">
        <v>1447</v>
      </c>
      <c r="O764" t="s">
        <v>22</v>
      </c>
    </row>
    <row r="765" spans="1:15" hidden="1">
      <c r="A765" t="s">
        <v>15</v>
      </c>
      <c r="B765" t="str">
        <f>"FES1162688546"</f>
        <v>FES1162688546</v>
      </c>
      <c r="C765" s="9">
        <v>43592</v>
      </c>
      <c r="D765">
        <v>1</v>
      </c>
      <c r="E765">
        <v>2170682412</v>
      </c>
      <c r="F765" t="s">
        <v>16</v>
      </c>
      <c r="G765" t="s">
        <v>17</v>
      </c>
      <c r="H765" t="s">
        <v>141</v>
      </c>
      <c r="I765" t="s">
        <v>142</v>
      </c>
      <c r="J765" t="s">
        <v>864</v>
      </c>
      <c r="K765" s="9">
        <v>43594</v>
      </c>
      <c r="L765" s="10">
        <v>0.4375</v>
      </c>
      <c r="M765" t="s">
        <v>865</v>
      </c>
      <c r="N765" t="s">
        <v>1448</v>
      </c>
      <c r="O765" t="s">
        <v>22</v>
      </c>
    </row>
    <row r="766" spans="1:15" hidden="1">
      <c r="A766" t="s">
        <v>15</v>
      </c>
      <c r="B766" t="str">
        <f>"FES1162688477"</f>
        <v>FES1162688477</v>
      </c>
      <c r="C766" s="9">
        <v>43592</v>
      </c>
      <c r="D766">
        <v>1</v>
      </c>
      <c r="E766">
        <v>2170685072</v>
      </c>
      <c r="F766" t="s">
        <v>16</v>
      </c>
      <c r="G766" t="s">
        <v>17</v>
      </c>
      <c r="H766" t="s">
        <v>141</v>
      </c>
      <c r="I766" t="s">
        <v>142</v>
      </c>
      <c r="J766" t="s">
        <v>213</v>
      </c>
      <c r="K766" s="9">
        <v>43594</v>
      </c>
      <c r="L766" s="10">
        <v>0.37291666666666662</v>
      </c>
      <c r="M766" t="s">
        <v>214</v>
      </c>
      <c r="N766" t="s">
        <v>1449</v>
      </c>
      <c r="O766" t="s">
        <v>22</v>
      </c>
    </row>
    <row r="767" spans="1:15" hidden="1">
      <c r="A767" t="s">
        <v>15</v>
      </c>
      <c r="B767" t="str">
        <f>"FES1162688476"</f>
        <v>FES1162688476</v>
      </c>
      <c r="C767" s="9">
        <v>43592</v>
      </c>
      <c r="D767">
        <v>1</v>
      </c>
      <c r="E767">
        <v>2170685047</v>
      </c>
      <c r="F767" t="s">
        <v>16</v>
      </c>
      <c r="G767" t="s">
        <v>17</v>
      </c>
      <c r="H767" t="s">
        <v>141</v>
      </c>
      <c r="I767" t="s">
        <v>185</v>
      </c>
      <c r="J767" t="s">
        <v>192</v>
      </c>
      <c r="K767" s="9">
        <v>43594</v>
      </c>
      <c r="L767" s="10">
        <v>0.375</v>
      </c>
      <c r="M767" t="s">
        <v>193</v>
      </c>
      <c r="N767" t="s">
        <v>1450</v>
      </c>
      <c r="O767" t="s">
        <v>22</v>
      </c>
    </row>
    <row r="768" spans="1:15" hidden="1">
      <c r="A768" t="s">
        <v>15</v>
      </c>
      <c r="B768" t="str">
        <f>"FES1162688540"</f>
        <v>FES1162688540</v>
      </c>
      <c r="C768" s="9">
        <v>43592</v>
      </c>
      <c r="D768">
        <v>1</v>
      </c>
      <c r="E768">
        <v>2170687288</v>
      </c>
      <c r="F768" t="s">
        <v>16</v>
      </c>
      <c r="G768" t="s">
        <v>17</v>
      </c>
      <c r="H768" t="s">
        <v>141</v>
      </c>
      <c r="I768" t="s">
        <v>1451</v>
      </c>
      <c r="J768" t="s">
        <v>1452</v>
      </c>
      <c r="K768" s="9">
        <v>43594</v>
      </c>
      <c r="L768" s="10">
        <v>0.35833333333333334</v>
      </c>
      <c r="M768" t="s">
        <v>1453</v>
      </c>
      <c r="N768" t="s">
        <v>1454</v>
      </c>
      <c r="O768" t="s">
        <v>22</v>
      </c>
    </row>
    <row r="769" spans="1:15">
      <c r="A769" s="6" t="s">
        <v>15</v>
      </c>
      <c r="B769" s="6" t="str">
        <f>"FES1162688532"</f>
        <v>FES1162688532</v>
      </c>
      <c r="C769" s="7">
        <v>43592</v>
      </c>
      <c r="D769" s="6">
        <v>1</v>
      </c>
      <c r="E769" s="6">
        <v>2170685980</v>
      </c>
      <c r="F769" s="6" t="s">
        <v>16</v>
      </c>
      <c r="G769" s="6" t="s">
        <v>17</v>
      </c>
      <c r="H769" s="6" t="s">
        <v>17</v>
      </c>
      <c r="I769" s="6" t="s">
        <v>148</v>
      </c>
      <c r="J769" s="6" t="s">
        <v>153</v>
      </c>
      <c r="K769" s="7">
        <v>43594</v>
      </c>
      <c r="L769" s="8">
        <v>0.41666666666666669</v>
      </c>
      <c r="M769" s="6" t="s">
        <v>712</v>
      </c>
      <c r="N769" s="6" t="s">
        <v>21</v>
      </c>
      <c r="O769" s="6" t="s">
        <v>22</v>
      </c>
    </row>
    <row r="770" spans="1:15">
      <c r="A770" s="6" t="s">
        <v>15</v>
      </c>
      <c r="B770" s="6" t="str">
        <f>"FES1162688479"</f>
        <v>FES1162688479</v>
      </c>
      <c r="C770" s="7">
        <v>43592</v>
      </c>
      <c r="D770" s="6">
        <v>1</v>
      </c>
      <c r="E770" s="6">
        <v>217068508</v>
      </c>
      <c r="F770" s="6" t="s">
        <v>16</v>
      </c>
      <c r="G770" s="6" t="s">
        <v>17</v>
      </c>
      <c r="H770" s="6" t="s">
        <v>17</v>
      </c>
      <c r="I770" s="6" t="s">
        <v>67</v>
      </c>
      <c r="J770" s="6" t="s">
        <v>1455</v>
      </c>
      <c r="K770" s="7">
        <v>43594</v>
      </c>
      <c r="L770" s="8">
        <v>0.4375</v>
      </c>
      <c r="M770" s="6" t="s">
        <v>1456</v>
      </c>
      <c r="N770" s="6" t="s">
        <v>21</v>
      </c>
      <c r="O770" s="6" t="s">
        <v>22</v>
      </c>
    </row>
    <row r="771" spans="1:15">
      <c r="A771" s="6" t="s">
        <v>15</v>
      </c>
      <c r="B771" s="6" t="str">
        <f>"FES1162688406"</f>
        <v>FES1162688406</v>
      </c>
      <c r="C771" s="7">
        <v>43592</v>
      </c>
      <c r="D771" s="6">
        <v>1</v>
      </c>
      <c r="E771" s="6">
        <v>2170687071</v>
      </c>
      <c r="F771" s="6" t="s">
        <v>16</v>
      </c>
      <c r="G771" s="6" t="s">
        <v>17</v>
      </c>
      <c r="H771" s="6" t="s">
        <v>17</v>
      </c>
      <c r="I771" s="6" t="s">
        <v>148</v>
      </c>
      <c r="J771" s="6" t="s">
        <v>1457</v>
      </c>
      <c r="K771" s="7">
        <v>43594</v>
      </c>
      <c r="L771" s="8">
        <v>0.38194444444444442</v>
      </c>
      <c r="M771" s="6" t="s">
        <v>1458</v>
      </c>
      <c r="N771" s="6" t="s">
        <v>21</v>
      </c>
      <c r="O771" s="6" t="s">
        <v>22</v>
      </c>
    </row>
    <row r="772" spans="1:15">
      <c r="A772" s="6" t="s">
        <v>15</v>
      </c>
      <c r="B772" s="6" t="str">
        <f>"FES1162688420"</f>
        <v>FES1162688420</v>
      </c>
      <c r="C772" s="7">
        <v>43592</v>
      </c>
      <c r="D772" s="6">
        <v>1</v>
      </c>
      <c r="E772" s="6">
        <v>2170687211</v>
      </c>
      <c r="F772" s="6" t="s">
        <v>16</v>
      </c>
      <c r="G772" s="6" t="s">
        <v>17</v>
      </c>
      <c r="H772" s="6" t="s">
        <v>17</v>
      </c>
      <c r="I772" s="6" t="s">
        <v>148</v>
      </c>
      <c r="J772" s="6" t="s">
        <v>417</v>
      </c>
      <c r="K772" s="7">
        <v>43594</v>
      </c>
      <c r="L772" s="8">
        <v>0.39652777777777781</v>
      </c>
      <c r="M772" s="6" t="s">
        <v>1419</v>
      </c>
      <c r="N772" s="6" t="s">
        <v>21</v>
      </c>
      <c r="O772" s="6" t="s">
        <v>22</v>
      </c>
    </row>
    <row r="773" spans="1:15">
      <c r="A773" s="6" t="s">
        <v>15</v>
      </c>
      <c r="B773" s="6" t="str">
        <f>"FES1162688491"</f>
        <v>FES1162688491</v>
      </c>
      <c r="C773" s="7">
        <v>43592</v>
      </c>
      <c r="D773" s="6">
        <v>1</v>
      </c>
      <c r="E773" s="6">
        <v>2170685197</v>
      </c>
      <c r="F773" s="6" t="s">
        <v>16</v>
      </c>
      <c r="G773" s="6" t="s">
        <v>17</v>
      </c>
      <c r="H773" s="6" t="s">
        <v>17</v>
      </c>
      <c r="I773" s="6" t="s">
        <v>84</v>
      </c>
      <c r="J773" s="6" t="s">
        <v>1459</v>
      </c>
      <c r="K773" s="7">
        <v>43594</v>
      </c>
      <c r="L773" s="8">
        <v>0.43611111111111112</v>
      </c>
      <c r="M773" s="6" t="s">
        <v>1460</v>
      </c>
      <c r="N773" s="6" t="s">
        <v>21</v>
      </c>
      <c r="O773" s="6" t="s">
        <v>22</v>
      </c>
    </row>
    <row r="774" spans="1:15" hidden="1">
      <c r="A774" t="s">
        <v>15</v>
      </c>
      <c r="B774" t="str">
        <f>"FES1162688375"</f>
        <v>FES1162688375</v>
      </c>
      <c r="C774" s="9">
        <v>43592</v>
      </c>
      <c r="D774">
        <v>1</v>
      </c>
      <c r="E774">
        <v>2170684976</v>
      </c>
      <c r="F774" t="s">
        <v>16</v>
      </c>
      <c r="G774" t="s">
        <v>17</v>
      </c>
      <c r="H774" t="s">
        <v>290</v>
      </c>
      <c r="I774" t="s">
        <v>291</v>
      </c>
      <c r="J774" t="s">
        <v>1461</v>
      </c>
      <c r="K774" s="9">
        <v>43594</v>
      </c>
      <c r="L774" s="10">
        <v>0.36805555555555558</v>
      </c>
      <c r="M774" t="s">
        <v>1462</v>
      </c>
      <c r="N774" t="s">
        <v>1463</v>
      </c>
      <c r="O774" t="s">
        <v>22</v>
      </c>
    </row>
    <row r="775" spans="1:15" hidden="1">
      <c r="A775" t="s">
        <v>15</v>
      </c>
      <c r="B775" t="str">
        <f>"FES1162688411"</f>
        <v>FES1162688411</v>
      </c>
      <c r="C775" s="9">
        <v>43592</v>
      </c>
      <c r="D775">
        <v>1</v>
      </c>
      <c r="E775">
        <v>2170687115</v>
      </c>
      <c r="F775" t="s">
        <v>16</v>
      </c>
      <c r="G775" t="s">
        <v>17</v>
      </c>
      <c r="H775" t="s">
        <v>132</v>
      </c>
      <c r="I775" t="s">
        <v>137</v>
      </c>
      <c r="J775" t="s">
        <v>138</v>
      </c>
      <c r="K775" s="9">
        <v>43594</v>
      </c>
      <c r="L775" s="10">
        <v>0.51597222222222217</v>
      </c>
      <c r="M775" t="s">
        <v>1464</v>
      </c>
      <c r="N775" t="s">
        <v>1465</v>
      </c>
      <c r="O775" t="s">
        <v>22</v>
      </c>
    </row>
    <row r="776" spans="1:15" hidden="1">
      <c r="A776" t="s">
        <v>15</v>
      </c>
      <c r="B776" t="str">
        <f>"FES1162688379"</f>
        <v>FES1162688379</v>
      </c>
      <c r="C776" s="9">
        <v>43592</v>
      </c>
      <c r="D776">
        <v>1</v>
      </c>
      <c r="E776">
        <v>2170685746</v>
      </c>
      <c r="F776" t="s">
        <v>16</v>
      </c>
      <c r="G776" t="s">
        <v>17</v>
      </c>
      <c r="H776" t="s">
        <v>141</v>
      </c>
      <c r="I776" t="s">
        <v>142</v>
      </c>
      <c r="J776" t="s">
        <v>228</v>
      </c>
      <c r="K776" s="9">
        <v>43594</v>
      </c>
      <c r="L776" s="10">
        <v>0.39444444444444443</v>
      </c>
      <c r="M776" t="s">
        <v>229</v>
      </c>
      <c r="N776" t="s">
        <v>1466</v>
      </c>
      <c r="O776" t="s">
        <v>22</v>
      </c>
    </row>
    <row r="777" spans="1:15" hidden="1">
      <c r="A777" t="s">
        <v>15</v>
      </c>
      <c r="B777" t="str">
        <f>"FES1162688398"</f>
        <v>FES1162688398</v>
      </c>
      <c r="C777" s="9">
        <v>43592</v>
      </c>
      <c r="D777">
        <v>1</v>
      </c>
      <c r="E777">
        <v>2170687022</v>
      </c>
      <c r="F777" t="s">
        <v>16</v>
      </c>
      <c r="G777" t="s">
        <v>17</v>
      </c>
      <c r="H777" t="s">
        <v>141</v>
      </c>
      <c r="I777" t="s">
        <v>433</v>
      </c>
      <c r="J777" t="s">
        <v>609</v>
      </c>
      <c r="K777" s="9">
        <v>43594</v>
      </c>
      <c r="L777" s="10">
        <v>0.38125000000000003</v>
      </c>
      <c r="M777" t="s">
        <v>1403</v>
      </c>
      <c r="N777" t="s">
        <v>1467</v>
      </c>
      <c r="O777" t="s">
        <v>22</v>
      </c>
    </row>
    <row r="778" spans="1:15" hidden="1">
      <c r="A778" t="s">
        <v>15</v>
      </c>
      <c r="B778" t="str">
        <f>"FES1162688475"</f>
        <v>FES1162688475</v>
      </c>
      <c r="C778" s="9">
        <v>43592</v>
      </c>
      <c r="D778">
        <v>1</v>
      </c>
      <c r="E778">
        <v>2170685021</v>
      </c>
      <c r="F778" t="s">
        <v>16</v>
      </c>
      <c r="G778" t="s">
        <v>17</v>
      </c>
      <c r="H778" t="s">
        <v>132</v>
      </c>
      <c r="I778" t="s">
        <v>1066</v>
      </c>
      <c r="J778" t="s">
        <v>1067</v>
      </c>
      <c r="K778" s="9">
        <v>43595</v>
      </c>
      <c r="L778" s="10">
        <v>0.55902777777777779</v>
      </c>
      <c r="M778" t="s">
        <v>1068</v>
      </c>
      <c r="N778" t="s">
        <v>1468</v>
      </c>
      <c r="O778" t="s">
        <v>22</v>
      </c>
    </row>
    <row r="779" spans="1:15">
      <c r="A779" s="6" t="s">
        <v>15</v>
      </c>
      <c r="B779" s="6" t="str">
        <f>"FES1162688456"</f>
        <v>FES1162688456</v>
      </c>
      <c r="C779" s="7">
        <v>43592</v>
      </c>
      <c r="D779" s="6">
        <v>1</v>
      </c>
      <c r="E779" s="6">
        <v>2170687282</v>
      </c>
      <c r="F779" s="6" t="s">
        <v>16</v>
      </c>
      <c r="G779" s="6" t="s">
        <v>17</v>
      </c>
      <c r="H779" s="6" t="s">
        <v>17</v>
      </c>
      <c r="I779" s="6" t="s">
        <v>64</v>
      </c>
      <c r="J779" s="6" t="s">
        <v>116</v>
      </c>
      <c r="K779" s="7">
        <v>43594</v>
      </c>
      <c r="L779" s="8">
        <v>0.53055555555555556</v>
      </c>
      <c r="M779" s="6" t="s">
        <v>1363</v>
      </c>
      <c r="N779" s="6" t="s">
        <v>21</v>
      </c>
      <c r="O779" s="6" t="s">
        <v>22</v>
      </c>
    </row>
    <row r="780" spans="1:15" hidden="1">
      <c r="A780" t="s">
        <v>15</v>
      </c>
      <c r="B780" t="str">
        <f>"FES1162688487"</f>
        <v>FES1162688487</v>
      </c>
      <c r="C780" s="9">
        <v>43592</v>
      </c>
      <c r="D780">
        <v>1</v>
      </c>
      <c r="E780">
        <v>2170685161</v>
      </c>
      <c r="F780" t="s">
        <v>16</v>
      </c>
      <c r="G780" t="s">
        <v>17</v>
      </c>
      <c r="H780" t="s">
        <v>43</v>
      </c>
      <c r="I780" t="s">
        <v>44</v>
      </c>
      <c r="J780" t="s">
        <v>748</v>
      </c>
      <c r="K780" s="9">
        <v>43594</v>
      </c>
      <c r="L780" s="10">
        <v>0.41666666666666669</v>
      </c>
      <c r="M780" t="s">
        <v>1194</v>
      </c>
      <c r="N780" t="s">
        <v>1469</v>
      </c>
      <c r="O780" t="s">
        <v>22</v>
      </c>
    </row>
    <row r="781" spans="1:15" hidden="1">
      <c r="A781" t="s">
        <v>15</v>
      </c>
      <c r="B781" t="str">
        <f>"FES1162688530"</f>
        <v>FES1162688530</v>
      </c>
      <c r="C781" s="9">
        <v>43592</v>
      </c>
      <c r="D781">
        <v>1</v>
      </c>
      <c r="E781">
        <v>2170685799</v>
      </c>
      <c r="F781" t="s">
        <v>16</v>
      </c>
      <c r="G781" t="s">
        <v>17</v>
      </c>
      <c r="H781" t="s">
        <v>43</v>
      </c>
      <c r="I781" t="s">
        <v>44</v>
      </c>
      <c r="J781" t="s">
        <v>236</v>
      </c>
      <c r="K781" s="9">
        <v>43594</v>
      </c>
      <c r="L781" s="10">
        <v>0.41666666666666669</v>
      </c>
      <c r="M781" t="s">
        <v>1470</v>
      </c>
      <c r="N781" t="s">
        <v>1471</v>
      </c>
      <c r="O781" t="s">
        <v>22</v>
      </c>
    </row>
    <row r="782" spans="1:15">
      <c r="A782" s="6" t="s">
        <v>15</v>
      </c>
      <c r="B782" s="6" t="str">
        <f>"FES1162688414"</f>
        <v>FES1162688414</v>
      </c>
      <c r="C782" s="7">
        <v>43592</v>
      </c>
      <c r="D782" s="6">
        <v>1</v>
      </c>
      <c r="E782" s="6">
        <v>2170687146</v>
      </c>
      <c r="F782" s="6" t="s">
        <v>16</v>
      </c>
      <c r="G782" s="6" t="s">
        <v>17</v>
      </c>
      <c r="H782" s="6" t="s">
        <v>17</v>
      </c>
      <c r="I782" s="6" t="s">
        <v>23</v>
      </c>
      <c r="J782" s="6" t="s">
        <v>483</v>
      </c>
      <c r="K782" s="7">
        <v>43594</v>
      </c>
      <c r="L782" s="8">
        <v>0.35138888888888892</v>
      </c>
      <c r="M782" s="6" t="s">
        <v>1016</v>
      </c>
      <c r="N782" s="6" t="s">
        <v>21</v>
      </c>
      <c r="O782" s="6" t="s">
        <v>22</v>
      </c>
    </row>
    <row r="783" spans="1:15">
      <c r="A783" s="6" t="s">
        <v>15</v>
      </c>
      <c r="B783" s="6" t="str">
        <f>"FES1162688593"</f>
        <v>FES1162688593</v>
      </c>
      <c r="C783" s="7">
        <v>43592</v>
      </c>
      <c r="D783" s="6">
        <v>1</v>
      </c>
      <c r="E783" s="6">
        <v>2170687343</v>
      </c>
      <c r="F783" s="6" t="s">
        <v>16</v>
      </c>
      <c r="G783" s="6" t="s">
        <v>17</v>
      </c>
      <c r="H783" s="6" t="s">
        <v>17</v>
      </c>
      <c r="I783" s="6" t="s">
        <v>18</v>
      </c>
      <c r="J783" s="6" t="s">
        <v>19</v>
      </c>
      <c r="K783" s="7">
        <v>43594</v>
      </c>
      <c r="L783" s="8">
        <v>0.40208333333333335</v>
      </c>
      <c r="M783" s="6" t="s">
        <v>1472</v>
      </c>
      <c r="N783" s="6" t="s">
        <v>21</v>
      </c>
      <c r="O783" s="6" t="s">
        <v>22</v>
      </c>
    </row>
    <row r="784" spans="1:15">
      <c r="A784" s="6" t="s">
        <v>15</v>
      </c>
      <c r="B784" s="6" t="str">
        <f>"FES1162688369"</f>
        <v>FES1162688369</v>
      </c>
      <c r="C784" s="7">
        <v>43592</v>
      </c>
      <c r="D784" s="6">
        <v>1</v>
      </c>
      <c r="E784" s="6">
        <v>2170686849</v>
      </c>
      <c r="F784" s="6" t="s">
        <v>16</v>
      </c>
      <c r="G784" s="6" t="s">
        <v>17</v>
      </c>
      <c r="H784" s="6" t="s">
        <v>17</v>
      </c>
      <c r="I784" s="6" t="s">
        <v>23</v>
      </c>
      <c r="J784" s="6" t="s">
        <v>119</v>
      </c>
      <c r="K784" s="7">
        <v>43594</v>
      </c>
      <c r="L784" s="8">
        <v>0.29791666666666666</v>
      </c>
      <c r="M784" s="6" t="s">
        <v>1473</v>
      </c>
      <c r="N784" s="6" t="s">
        <v>21</v>
      </c>
      <c r="O784" s="6" t="s">
        <v>22</v>
      </c>
    </row>
    <row r="785" spans="1:15">
      <c r="A785" s="6" t="s">
        <v>15</v>
      </c>
      <c r="B785" s="6" t="str">
        <f>"FES1162688578"</f>
        <v>FES1162688578</v>
      </c>
      <c r="C785" s="7">
        <v>43592</v>
      </c>
      <c r="D785" s="6">
        <v>1</v>
      </c>
      <c r="E785" s="6">
        <v>2170687330</v>
      </c>
      <c r="F785" s="6" t="s">
        <v>16</v>
      </c>
      <c r="G785" s="6" t="s">
        <v>17</v>
      </c>
      <c r="H785" s="6" t="s">
        <v>17</v>
      </c>
      <c r="I785" s="6" t="s">
        <v>701</v>
      </c>
      <c r="J785" s="6" t="s">
        <v>1379</v>
      </c>
      <c r="K785" s="7">
        <v>43594</v>
      </c>
      <c r="L785" s="8">
        <v>0.33333333333333331</v>
      </c>
      <c r="M785" s="6" t="s">
        <v>579</v>
      </c>
      <c r="N785" s="6" t="s">
        <v>21</v>
      </c>
      <c r="O785" s="6" t="s">
        <v>22</v>
      </c>
    </row>
    <row r="786" spans="1:15" hidden="1">
      <c r="A786" t="s">
        <v>15</v>
      </c>
      <c r="B786" t="str">
        <f>"FES1162688422"</f>
        <v>FES1162688422</v>
      </c>
      <c r="C786" s="9">
        <v>43592</v>
      </c>
      <c r="D786">
        <v>1</v>
      </c>
      <c r="E786">
        <v>2170687217</v>
      </c>
      <c r="F786" t="s">
        <v>16</v>
      </c>
      <c r="G786" t="s">
        <v>17</v>
      </c>
      <c r="H786" t="s">
        <v>1474</v>
      </c>
      <c r="I786" t="s">
        <v>1475</v>
      </c>
      <c r="J786" t="s">
        <v>1476</v>
      </c>
      <c r="K786" s="9">
        <v>43594</v>
      </c>
      <c r="L786" s="10">
        <v>0.3923611111111111</v>
      </c>
      <c r="M786" t="s">
        <v>1477</v>
      </c>
      <c r="N786" t="s">
        <v>1478</v>
      </c>
      <c r="O786" t="s">
        <v>22</v>
      </c>
    </row>
    <row r="787" spans="1:15" hidden="1">
      <c r="A787" t="s">
        <v>15</v>
      </c>
      <c r="B787" t="str">
        <f>"FES1162688539"</f>
        <v>FES1162688539</v>
      </c>
      <c r="C787" s="9">
        <v>43592</v>
      </c>
      <c r="D787">
        <v>1</v>
      </c>
      <c r="E787">
        <v>2170687287</v>
      </c>
      <c r="F787" t="s">
        <v>16</v>
      </c>
      <c r="G787" t="s">
        <v>17</v>
      </c>
      <c r="H787" t="s">
        <v>141</v>
      </c>
      <c r="I787" t="s">
        <v>185</v>
      </c>
      <c r="J787" t="s">
        <v>210</v>
      </c>
      <c r="K787" s="9">
        <v>43594</v>
      </c>
      <c r="L787" s="10">
        <v>0.38611111111111113</v>
      </c>
      <c r="M787" t="s">
        <v>211</v>
      </c>
      <c r="N787" t="s">
        <v>1479</v>
      </c>
      <c r="O787" t="s">
        <v>22</v>
      </c>
    </row>
    <row r="788" spans="1:15" hidden="1">
      <c r="A788" t="s">
        <v>15</v>
      </c>
      <c r="B788" t="str">
        <f>"FES1162688484"</f>
        <v>FES1162688484</v>
      </c>
      <c r="C788" s="9">
        <v>43592</v>
      </c>
      <c r="D788">
        <v>1</v>
      </c>
      <c r="E788">
        <v>2170685114</v>
      </c>
      <c r="F788" t="s">
        <v>16</v>
      </c>
      <c r="G788" t="s">
        <v>17</v>
      </c>
      <c r="H788" t="s">
        <v>43</v>
      </c>
      <c r="I788" t="s">
        <v>75</v>
      </c>
      <c r="J788" t="s">
        <v>1480</v>
      </c>
      <c r="K788" s="9">
        <v>43594</v>
      </c>
      <c r="L788" s="10">
        <v>0.45555555555555555</v>
      </c>
      <c r="M788" t="s">
        <v>1481</v>
      </c>
      <c r="N788" t="s">
        <v>1482</v>
      </c>
      <c r="O788" t="s">
        <v>22</v>
      </c>
    </row>
    <row r="789" spans="1:15" hidden="1">
      <c r="A789" t="s">
        <v>15</v>
      </c>
      <c r="B789" t="str">
        <f>"FES1162688542"</f>
        <v>FES1162688542</v>
      </c>
      <c r="C789" s="9">
        <v>43592</v>
      </c>
      <c r="D789">
        <v>1</v>
      </c>
      <c r="E789">
        <v>2170687290</v>
      </c>
      <c r="F789" t="s">
        <v>16</v>
      </c>
      <c r="G789" t="s">
        <v>17</v>
      </c>
      <c r="H789" t="s">
        <v>141</v>
      </c>
      <c r="I789" t="s">
        <v>185</v>
      </c>
      <c r="J789" t="s">
        <v>210</v>
      </c>
      <c r="K789" s="9">
        <v>43594</v>
      </c>
      <c r="L789" s="10">
        <v>0.38680555555555557</v>
      </c>
      <c r="M789" t="s">
        <v>211</v>
      </c>
      <c r="N789" t="s">
        <v>1436</v>
      </c>
      <c r="O789" t="s">
        <v>22</v>
      </c>
    </row>
    <row r="790" spans="1:15" hidden="1">
      <c r="A790" t="s">
        <v>15</v>
      </c>
      <c r="B790" t="str">
        <f>"FES1162688454"</f>
        <v>FES1162688454</v>
      </c>
      <c r="C790" s="9">
        <v>43592</v>
      </c>
      <c r="D790">
        <v>1</v>
      </c>
      <c r="E790">
        <v>217067279</v>
      </c>
      <c r="F790" t="s">
        <v>16</v>
      </c>
      <c r="G790" t="s">
        <v>17</v>
      </c>
      <c r="H790" t="s">
        <v>43</v>
      </c>
      <c r="I790" t="s">
        <v>738</v>
      </c>
      <c r="J790" t="s">
        <v>339</v>
      </c>
      <c r="K790" s="9">
        <v>43594</v>
      </c>
      <c r="L790" s="10">
        <v>0.41666666666666669</v>
      </c>
      <c r="M790" t="s">
        <v>1483</v>
      </c>
      <c r="N790" t="s">
        <v>1484</v>
      </c>
      <c r="O790" t="s">
        <v>22</v>
      </c>
    </row>
    <row r="791" spans="1:15" hidden="1">
      <c r="A791" t="s">
        <v>15</v>
      </c>
      <c r="B791" t="str">
        <f>"FES1162688506"</f>
        <v>FES1162688506</v>
      </c>
      <c r="C791" s="9">
        <v>43592</v>
      </c>
      <c r="D791">
        <v>1</v>
      </c>
      <c r="E791">
        <v>2170685286</v>
      </c>
      <c r="F791" t="s">
        <v>16</v>
      </c>
      <c r="G791" t="s">
        <v>17</v>
      </c>
      <c r="H791" t="s">
        <v>43</v>
      </c>
      <c r="I791" t="s">
        <v>44</v>
      </c>
      <c r="J791" t="s">
        <v>1485</v>
      </c>
      <c r="K791" s="9">
        <v>43594</v>
      </c>
      <c r="L791" s="10">
        <v>0.41666666666666669</v>
      </c>
      <c r="M791" t="s">
        <v>1486</v>
      </c>
      <c r="N791" t="s">
        <v>1487</v>
      </c>
      <c r="O791" t="s">
        <v>22</v>
      </c>
    </row>
    <row r="792" spans="1:15" hidden="1">
      <c r="A792" t="s">
        <v>15</v>
      </c>
      <c r="B792" t="str">
        <f>"FES1162688534"</f>
        <v>FES1162688534</v>
      </c>
      <c r="C792" s="9">
        <v>43592</v>
      </c>
      <c r="D792">
        <v>1</v>
      </c>
      <c r="E792">
        <v>2170686460</v>
      </c>
      <c r="F792" t="s">
        <v>16</v>
      </c>
      <c r="G792" t="s">
        <v>17</v>
      </c>
      <c r="H792" t="s">
        <v>43</v>
      </c>
      <c r="I792" t="s">
        <v>44</v>
      </c>
      <c r="J792" t="s">
        <v>51</v>
      </c>
      <c r="K792" s="9">
        <v>43594</v>
      </c>
      <c r="L792" s="10">
        <v>0.41666666666666669</v>
      </c>
      <c r="M792" t="s">
        <v>1394</v>
      </c>
      <c r="N792" t="s">
        <v>1488</v>
      </c>
      <c r="O792" t="s">
        <v>22</v>
      </c>
    </row>
    <row r="793" spans="1:15" hidden="1">
      <c r="A793" t="s">
        <v>15</v>
      </c>
      <c r="B793" t="str">
        <f>"FES1162688525"</f>
        <v>FES1162688525</v>
      </c>
      <c r="C793" s="9">
        <v>43592</v>
      </c>
      <c r="D793">
        <v>1</v>
      </c>
      <c r="E793">
        <v>2170685449</v>
      </c>
      <c r="F793" t="s">
        <v>16</v>
      </c>
      <c r="G793" t="s">
        <v>17</v>
      </c>
      <c r="H793" t="s">
        <v>43</v>
      </c>
      <c r="I793" t="s">
        <v>807</v>
      </c>
      <c r="J793" t="s">
        <v>808</v>
      </c>
      <c r="K793" s="9">
        <v>43594</v>
      </c>
      <c r="L793" s="10">
        <v>0.50902777777777775</v>
      </c>
      <c r="M793" t="s">
        <v>1489</v>
      </c>
      <c r="N793" t="s">
        <v>1490</v>
      </c>
      <c r="O793" t="s">
        <v>22</v>
      </c>
    </row>
    <row r="794" spans="1:15">
      <c r="A794" s="6" t="s">
        <v>15</v>
      </c>
      <c r="B794" s="6" t="str">
        <f>"FES1162688431"</f>
        <v>FES1162688431</v>
      </c>
      <c r="C794" s="7">
        <v>43592</v>
      </c>
      <c r="D794" s="6">
        <v>1</v>
      </c>
      <c r="E794" s="6">
        <v>2170687240</v>
      </c>
      <c r="F794" s="6" t="s">
        <v>16</v>
      </c>
      <c r="G794" s="6" t="s">
        <v>17</v>
      </c>
      <c r="H794" s="6" t="s">
        <v>17</v>
      </c>
      <c r="I794" s="6" t="s">
        <v>64</v>
      </c>
      <c r="J794" s="6" t="s">
        <v>1491</v>
      </c>
      <c r="K794" s="7">
        <v>43594</v>
      </c>
      <c r="L794" s="8">
        <v>0.31597222222222221</v>
      </c>
      <c r="M794" s="6" t="s">
        <v>1492</v>
      </c>
      <c r="N794" s="6" t="s">
        <v>21</v>
      </c>
      <c r="O794" s="6" t="s">
        <v>22</v>
      </c>
    </row>
    <row r="795" spans="1:15">
      <c r="A795" s="6" t="s">
        <v>15</v>
      </c>
      <c r="B795" s="6" t="str">
        <f>"FES1162688409"</f>
        <v>FES1162688409</v>
      </c>
      <c r="C795" s="7">
        <v>43592</v>
      </c>
      <c r="D795" s="6">
        <v>1</v>
      </c>
      <c r="E795" s="6">
        <v>2170687097</v>
      </c>
      <c r="F795" s="6" t="s">
        <v>16</v>
      </c>
      <c r="G795" s="6" t="s">
        <v>17</v>
      </c>
      <c r="H795" s="6" t="s">
        <v>17</v>
      </c>
      <c r="I795" s="6" t="s">
        <v>103</v>
      </c>
      <c r="J795" s="6" t="s">
        <v>1493</v>
      </c>
      <c r="K795" s="7">
        <v>43594</v>
      </c>
      <c r="L795" s="8">
        <v>0.2986111111111111</v>
      </c>
      <c r="M795" s="6" t="s">
        <v>1494</v>
      </c>
      <c r="N795" s="6" t="s">
        <v>21</v>
      </c>
      <c r="O795" s="6" t="s">
        <v>22</v>
      </c>
    </row>
    <row r="796" spans="1:15" hidden="1">
      <c r="A796" t="s">
        <v>15</v>
      </c>
      <c r="B796" t="str">
        <f>"FES1162688508"</f>
        <v>FES1162688508</v>
      </c>
      <c r="C796" s="9">
        <v>43592</v>
      </c>
      <c r="D796">
        <v>1</v>
      </c>
      <c r="E796">
        <v>2170685292</v>
      </c>
      <c r="F796" t="s">
        <v>16</v>
      </c>
      <c r="G796" t="s">
        <v>17</v>
      </c>
      <c r="H796" t="s">
        <v>43</v>
      </c>
      <c r="I796" t="s">
        <v>44</v>
      </c>
      <c r="J796" t="s">
        <v>798</v>
      </c>
      <c r="K796" s="9">
        <v>43594</v>
      </c>
      <c r="L796" s="10">
        <v>0.41666666666666669</v>
      </c>
      <c r="M796" t="s">
        <v>481</v>
      </c>
      <c r="N796" t="s">
        <v>1495</v>
      </c>
      <c r="O796" t="s">
        <v>22</v>
      </c>
    </row>
    <row r="797" spans="1:15" hidden="1">
      <c r="A797" t="s">
        <v>15</v>
      </c>
      <c r="B797" t="str">
        <f>"FES1162688449"</f>
        <v>FES1162688449</v>
      </c>
      <c r="C797" s="9">
        <v>43592</v>
      </c>
      <c r="D797">
        <v>1</v>
      </c>
      <c r="E797">
        <v>2170687270</v>
      </c>
      <c r="F797" t="s">
        <v>16</v>
      </c>
      <c r="G797" t="s">
        <v>17</v>
      </c>
      <c r="H797" t="s">
        <v>43</v>
      </c>
      <c r="I797" t="s">
        <v>738</v>
      </c>
      <c r="J797" t="s">
        <v>339</v>
      </c>
      <c r="K797" s="9">
        <v>43594</v>
      </c>
      <c r="L797" s="10">
        <v>0.41666666666666669</v>
      </c>
      <c r="M797" t="s">
        <v>1212</v>
      </c>
      <c r="N797" t="s">
        <v>1496</v>
      </c>
      <c r="O797" t="s">
        <v>22</v>
      </c>
    </row>
    <row r="798" spans="1:15" hidden="1">
      <c r="A798" t="s">
        <v>15</v>
      </c>
      <c r="B798" t="str">
        <f>"FES1162688490"</f>
        <v>FES1162688490</v>
      </c>
      <c r="C798" s="9">
        <v>43592</v>
      </c>
      <c r="D798">
        <v>1</v>
      </c>
      <c r="E798">
        <v>2170685195</v>
      </c>
      <c r="F798" t="s">
        <v>16</v>
      </c>
      <c r="G798" t="s">
        <v>17</v>
      </c>
      <c r="H798" t="s">
        <v>43</v>
      </c>
      <c r="I798" t="s">
        <v>44</v>
      </c>
      <c r="J798" t="s">
        <v>860</v>
      </c>
      <c r="K798" s="9">
        <v>43594</v>
      </c>
      <c r="L798" s="10">
        <v>0.41666666666666669</v>
      </c>
      <c r="M798" t="s">
        <v>1497</v>
      </c>
      <c r="N798" t="s">
        <v>1498</v>
      </c>
      <c r="O798" t="s">
        <v>22</v>
      </c>
    </row>
    <row r="799" spans="1:15" hidden="1">
      <c r="A799" t="s">
        <v>15</v>
      </c>
      <c r="B799" t="str">
        <f>"FES1162688558"</f>
        <v>FES1162688558</v>
      </c>
      <c r="C799" s="9">
        <v>43592</v>
      </c>
      <c r="D799">
        <v>1</v>
      </c>
      <c r="E799">
        <v>2170687305</v>
      </c>
      <c r="F799" t="s">
        <v>16</v>
      </c>
      <c r="G799" t="s">
        <v>17</v>
      </c>
      <c r="H799" t="s">
        <v>141</v>
      </c>
      <c r="I799" t="s">
        <v>185</v>
      </c>
      <c r="J799" t="s">
        <v>1499</v>
      </c>
      <c r="K799" s="9">
        <v>43594</v>
      </c>
      <c r="L799" s="10">
        <v>0.43263888888888885</v>
      </c>
      <c r="M799" t="s">
        <v>1500</v>
      </c>
      <c r="N799" t="s">
        <v>1501</v>
      </c>
      <c r="O799" t="s">
        <v>22</v>
      </c>
    </row>
    <row r="800" spans="1:15" hidden="1">
      <c r="A800" t="s">
        <v>15</v>
      </c>
      <c r="B800" t="str">
        <f>"FES1162688505"</f>
        <v>FES1162688505</v>
      </c>
      <c r="C800" s="9">
        <v>43592</v>
      </c>
      <c r="D800">
        <v>1</v>
      </c>
      <c r="E800">
        <v>2170685279</v>
      </c>
      <c r="F800" t="s">
        <v>16</v>
      </c>
      <c r="G800" t="s">
        <v>17</v>
      </c>
      <c r="H800" t="s">
        <v>43</v>
      </c>
      <c r="I800" t="s">
        <v>44</v>
      </c>
      <c r="J800" t="s">
        <v>336</v>
      </c>
      <c r="K800" s="9">
        <v>43594</v>
      </c>
      <c r="L800" s="10">
        <v>0.41666666666666669</v>
      </c>
      <c r="M800" t="s">
        <v>1502</v>
      </c>
      <c r="N800" t="s">
        <v>1503</v>
      </c>
      <c r="O800" t="s">
        <v>22</v>
      </c>
    </row>
    <row r="801" spans="1:15" hidden="1">
      <c r="A801" t="s">
        <v>15</v>
      </c>
      <c r="B801" t="str">
        <f>"FES1162688376"</f>
        <v>FES1162688376</v>
      </c>
      <c r="C801" s="9">
        <v>43592</v>
      </c>
      <c r="D801">
        <v>1</v>
      </c>
      <c r="E801">
        <v>2170685226</v>
      </c>
      <c r="F801" t="s">
        <v>16</v>
      </c>
      <c r="G801" t="s">
        <v>17</v>
      </c>
      <c r="H801" t="s">
        <v>43</v>
      </c>
      <c r="I801" t="s">
        <v>44</v>
      </c>
      <c r="J801" t="s">
        <v>72</v>
      </c>
      <c r="K801" s="9">
        <v>43594</v>
      </c>
      <c r="L801" s="10">
        <v>0.41666666666666669</v>
      </c>
      <c r="M801" t="s">
        <v>73</v>
      </c>
      <c r="N801" t="s">
        <v>1504</v>
      </c>
      <c r="O801" t="s">
        <v>22</v>
      </c>
    </row>
    <row r="802" spans="1:15" hidden="1">
      <c r="A802" t="s">
        <v>15</v>
      </c>
      <c r="B802" t="str">
        <f>"FES1162688496"</f>
        <v>FES1162688496</v>
      </c>
      <c r="C802" s="9">
        <v>43592</v>
      </c>
      <c r="D802">
        <v>1</v>
      </c>
      <c r="E802">
        <v>2170685226</v>
      </c>
      <c r="F802" t="s">
        <v>16</v>
      </c>
      <c r="G802" t="s">
        <v>17</v>
      </c>
      <c r="H802" t="s">
        <v>43</v>
      </c>
      <c r="I802" t="s">
        <v>44</v>
      </c>
      <c r="J802" t="s">
        <v>72</v>
      </c>
      <c r="K802" s="9">
        <v>43594</v>
      </c>
      <c r="L802" s="10">
        <v>0.41666666666666669</v>
      </c>
      <c r="M802" t="s">
        <v>73</v>
      </c>
      <c r="N802" t="s">
        <v>1505</v>
      </c>
      <c r="O802" t="s">
        <v>22</v>
      </c>
    </row>
    <row r="803" spans="1:15" hidden="1">
      <c r="A803" t="s">
        <v>15</v>
      </c>
      <c r="B803" t="str">
        <f>"FES1162688403"</f>
        <v>FES1162688403</v>
      </c>
      <c r="C803" s="9">
        <v>43592</v>
      </c>
      <c r="D803">
        <v>1</v>
      </c>
      <c r="E803">
        <v>2170687045</v>
      </c>
      <c r="F803" t="s">
        <v>16</v>
      </c>
      <c r="G803" t="s">
        <v>17</v>
      </c>
      <c r="H803" t="s">
        <v>43</v>
      </c>
      <c r="I803" t="s">
        <v>60</v>
      </c>
      <c r="J803" t="s">
        <v>61</v>
      </c>
      <c r="K803" s="9">
        <v>43595</v>
      </c>
      <c r="L803" s="10">
        <v>0.38819444444444445</v>
      </c>
      <c r="M803" t="s">
        <v>79</v>
      </c>
      <c r="N803" t="s">
        <v>1506</v>
      </c>
      <c r="O803" t="s">
        <v>22</v>
      </c>
    </row>
    <row r="804" spans="1:15" hidden="1">
      <c r="A804" t="s">
        <v>15</v>
      </c>
      <c r="B804" t="str">
        <f>"FES1162688467"</f>
        <v>FES1162688467</v>
      </c>
      <c r="C804" s="9">
        <v>43592</v>
      </c>
      <c r="D804">
        <v>2</v>
      </c>
      <c r="E804">
        <v>2170684409</v>
      </c>
      <c r="F804" t="s">
        <v>58</v>
      </c>
      <c r="G804" t="s">
        <v>59</v>
      </c>
      <c r="H804" t="s">
        <v>1507</v>
      </c>
      <c r="I804" t="s">
        <v>421</v>
      </c>
      <c r="J804" t="s">
        <v>422</v>
      </c>
      <c r="K804" s="9">
        <v>43594</v>
      </c>
      <c r="L804" s="10">
        <v>0.36249999999999999</v>
      </c>
      <c r="M804" t="s">
        <v>1414</v>
      </c>
      <c r="N804" t="s">
        <v>1508</v>
      </c>
      <c r="O804" t="s">
        <v>22</v>
      </c>
    </row>
    <row r="805" spans="1:15">
      <c r="A805" s="6" t="s">
        <v>15</v>
      </c>
      <c r="B805" s="6" t="str">
        <f>"FES1162688489"</f>
        <v>FES1162688489</v>
      </c>
      <c r="C805" s="7">
        <v>43592</v>
      </c>
      <c r="D805" s="6">
        <v>2</v>
      </c>
      <c r="E805" s="6">
        <v>2170685192</v>
      </c>
      <c r="F805" s="6" t="s">
        <v>16</v>
      </c>
      <c r="G805" s="6" t="s">
        <v>17</v>
      </c>
      <c r="H805" s="6" t="s">
        <v>17</v>
      </c>
      <c r="I805" s="6" t="s">
        <v>18</v>
      </c>
      <c r="J805" s="6" t="s">
        <v>19</v>
      </c>
      <c r="K805" s="7">
        <v>43594</v>
      </c>
      <c r="L805" s="8">
        <v>0.40138888888888885</v>
      </c>
      <c r="M805" s="6" t="s">
        <v>1472</v>
      </c>
      <c r="N805" s="6" t="s">
        <v>21</v>
      </c>
      <c r="O805" s="6" t="s">
        <v>22</v>
      </c>
    </row>
    <row r="806" spans="1:15">
      <c r="A806" s="6" t="s">
        <v>15</v>
      </c>
      <c r="B806" s="6" t="str">
        <f>"FES1162688480"</f>
        <v>FES1162688480</v>
      </c>
      <c r="C806" s="7">
        <v>43592</v>
      </c>
      <c r="D806" s="6">
        <v>1</v>
      </c>
      <c r="E806" s="6">
        <v>2170685089</v>
      </c>
      <c r="F806" s="6" t="s">
        <v>16</v>
      </c>
      <c r="G806" s="6" t="s">
        <v>17</v>
      </c>
      <c r="H806" s="6" t="s">
        <v>17</v>
      </c>
      <c r="I806" s="6" t="s">
        <v>18</v>
      </c>
      <c r="J806" s="6" t="s">
        <v>19</v>
      </c>
      <c r="K806" s="7">
        <v>43594</v>
      </c>
      <c r="L806" s="8">
        <v>0.40069444444444446</v>
      </c>
      <c r="M806" s="6" t="s">
        <v>1327</v>
      </c>
      <c r="N806" s="6" t="s">
        <v>21</v>
      </c>
      <c r="O806" s="6" t="s">
        <v>22</v>
      </c>
    </row>
    <row r="807" spans="1:15" hidden="1">
      <c r="A807" t="s">
        <v>15</v>
      </c>
      <c r="B807" t="str">
        <f>"FES1162688359"</f>
        <v>FES1162688359</v>
      </c>
      <c r="C807" s="9">
        <v>43592</v>
      </c>
      <c r="D807">
        <v>1</v>
      </c>
      <c r="E807">
        <v>2170680536</v>
      </c>
      <c r="F807" t="s">
        <v>16</v>
      </c>
      <c r="G807" t="s">
        <v>17</v>
      </c>
      <c r="H807" t="s">
        <v>32</v>
      </c>
      <c r="I807" t="s">
        <v>33</v>
      </c>
      <c r="J807" t="s">
        <v>34</v>
      </c>
      <c r="K807" s="9">
        <v>43594</v>
      </c>
      <c r="L807" s="10">
        <v>0.33680555555555558</v>
      </c>
      <c r="M807" t="s">
        <v>35</v>
      </c>
      <c r="N807" t="s">
        <v>1509</v>
      </c>
      <c r="O807" t="s">
        <v>22</v>
      </c>
    </row>
    <row r="808" spans="1:15" hidden="1">
      <c r="A808" t="s">
        <v>15</v>
      </c>
      <c r="B808" t="str">
        <f>"FES1162688461"</f>
        <v>FES1162688461</v>
      </c>
      <c r="C808" s="9">
        <v>43592</v>
      </c>
      <c r="D808">
        <v>1</v>
      </c>
      <c r="E808">
        <v>2170687676</v>
      </c>
      <c r="F808" t="s">
        <v>16</v>
      </c>
      <c r="G808" t="s">
        <v>17</v>
      </c>
      <c r="H808" t="s">
        <v>32</v>
      </c>
      <c r="I808" t="s">
        <v>33</v>
      </c>
      <c r="J808" t="s">
        <v>506</v>
      </c>
      <c r="K808" s="9">
        <v>43598</v>
      </c>
      <c r="L808" s="10">
        <v>0.3263888888888889</v>
      </c>
      <c r="M808" t="s">
        <v>135</v>
      </c>
      <c r="N808" t="s">
        <v>1510</v>
      </c>
      <c r="O808" t="s">
        <v>22</v>
      </c>
    </row>
    <row r="809" spans="1:15" hidden="1">
      <c r="A809" t="s">
        <v>15</v>
      </c>
      <c r="B809" t="str">
        <f>"FES1162688385"</f>
        <v>FES1162688385</v>
      </c>
      <c r="C809" s="9">
        <v>43592</v>
      </c>
      <c r="D809">
        <v>1</v>
      </c>
      <c r="E809">
        <v>2170685835</v>
      </c>
      <c r="F809" t="s">
        <v>16</v>
      </c>
      <c r="G809" t="s">
        <v>17</v>
      </c>
      <c r="H809" t="s">
        <v>32</v>
      </c>
      <c r="I809" t="s">
        <v>33</v>
      </c>
      <c r="J809" t="s">
        <v>34</v>
      </c>
      <c r="K809" s="9">
        <v>43594</v>
      </c>
      <c r="L809" s="10">
        <v>0.33680555555555558</v>
      </c>
      <c r="M809" t="s">
        <v>35</v>
      </c>
      <c r="N809" t="s">
        <v>1511</v>
      </c>
      <c r="O809" t="s">
        <v>22</v>
      </c>
    </row>
    <row r="810" spans="1:15" hidden="1">
      <c r="A810" t="s">
        <v>15</v>
      </c>
      <c r="B810" t="str">
        <f>"FES1162688557"</f>
        <v>FES1162688557</v>
      </c>
      <c r="C810" s="9">
        <v>43592</v>
      </c>
      <c r="D810">
        <v>1</v>
      </c>
      <c r="E810">
        <v>2170687303</v>
      </c>
      <c r="F810" t="s">
        <v>16</v>
      </c>
      <c r="G810" t="s">
        <v>17</v>
      </c>
      <c r="H810" t="s">
        <v>37</v>
      </c>
      <c r="I810" t="s">
        <v>38</v>
      </c>
      <c r="J810" t="s">
        <v>1512</v>
      </c>
      <c r="K810" s="9">
        <v>43594</v>
      </c>
      <c r="L810" s="10">
        <v>0.34583333333333338</v>
      </c>
      <c r="M810" t="s">
        <v>1513</v>
      </c>
      <c r="N810" t="s">
        <v>1514</v>
      </c>
      <c r="O810" t="s">
        <v>22</v>
      </c>
    </row>
    <row r="811" spans="1:15" hidden="1">
      <c r="A811" t="s">
        <v>15</v>
      </c>
      <c r="B811" t="str">
        <f>"FES1162688394"</f>
        <v>FES1162688394</v>
      </c>
      <c r="C811" s="9">
        <v>43592</v>
      </c>
      <c r="D811">
        <v>1</v>
      </c>
      <c r="E811">
        <v>2170686652</v>
      </c>
      <c r="F811" t="s">
        <v>16</v>
      </c>
      <c r="G811" t="s">
        <v>17</v>
      </c>
      <c r="H811" t="s">
        <v>32</v>
      </c>
      <c r="I811" t="s">
        <v>33</v>
      </c>
      <c r="J811" t="s">
        <v>34</v>
      </c>
      <c r="K811" s="9">
        <v>43594</v>
      </c>
      <c r="L811" s="10">
        <v>0.33680555555555558</v>
      </c>
      <c r="M811" t="s">
        <v>35</v>
      </c>
      <c r="N811" t="s">
        <v>1515</v>
      </c>
      <c r="O811" t="s">
        <v>22</v>
      </c>
    </row>
    <row r="812" spans="1:15" hidden="1">
      <c r="A812" t="s">
        <v>15</v>
      </c>
      <c r="B812" t="str">
        <f>"FES1162688524"</f>
        <v>FES1162688524</v>
      </c>
      <c r="C812" s="9">
        <v>43592</v>
      </c>
      <c r="D812">
        <v>1</v>
      </c>
      <c r="E812">
        <v>2170685448</v>
      </c>
      <c r="F812" t="s">
        <v>16</v>
      </c>
      <c r="G812" t="s">
        <v>17</v>
      </c>
      <c r="H812" t="s">
        <v>43</v>
      </c>
      <c r="I812" t="s">
        <v>807</v>
      </c>
      <c r="J812" t="s">
        <v>808</v>
      </c>
      <c r="K812" s="9">
        <v>43594</v>
      </c>
      <c r="L812" s="10">
        <v>0.50902777777777775</v>
      </c>
      <c r="M812" t="s">
        <v>1489</v>
      </c>
      <c r="N812" t="s">
        <v>1516</v>
      </c>
      <c r="O812" t="s">
        <v>22</v>
      </c>
    </row>
    <row r="813" spans="1:15" hidden="1">
      <c r="A813" t="s">
        <v>15</v>
      </c>
      <c r="B813" t="str">
        <f>"FES1162688361"</f>
        <v>FES1162688361</v>
      </c>
      <c r="C813" s="9">
        <v>43592</v>
      </c>
      <c r="D813">
        <v>1</v>
      </c>
      <c r="E813">
        <v>2170682219</v>
      </c>
      <c r="F813" t="s">
        <v>16</v>
      </c>
      <c r="G813" t="s">
        <v>17</v>
      </c>
      <c r="H813" t="s">
        <v>32</v>
      </c>
      <c r="I813" t="s">
        <v>33</v>
      </c>
      <c r="J813" t="s">
        <v>34</v>
      </c>
      <c r="K813" s="9">
        <v>43594</v>
      </c>
      <c r="L813" s="10">
        <v>0.33680555555555558</v>
      </c>
      <c r="M813" t="s">
        <v>35</v>
      </c>
      <c r="N813" t="s">
        <v>1517</v>
      </c>
      <c r="O813" t="s">
        <v>22</v>
      </c>
    </row>
    <row r="814" spans="1:15" hidden="1">
      <c r="A814" t="s">
        <v>15</v>
      </c>
      <c r="B814" t="str">
        <f>"FES1162688471"</f>
        <v>FES1162688471</v>
      </c>
      <c r="C814" s="9">
        <v>43592</v>
      </c>
      <c r="D814">
        <v>1</v>
      </c>
      <c r="E814">
        <v>217684589</v>
      </c>
      <c r="F814" t="s">
        <v>16</v>
      </c>
      <c r="G814" t="s">
        <v>17</v>
      </c>
      <c r="H814" t="s">
        <v>32</v>
      </c>
      <c r="I814" t="s">
        <v>33</v>
      </c>
      <c r="J814" t="s">
        <v>365</v>
      </c>
      <c r="K814" s="9">
        <v>43594</v>
      </c>
      <c r="L814" s="10">
        <v>0.40277777777777773</v>
      </c>
      <c r="M814" t="s">
        <v>1349</v>
      </c>
      <c r="N814" t="s">
        <v>1518</v>
      </c>
      <c r="O814" t="s">
        <v>22</v>
      </c>
    </row>
    <row r="815" spans="1:15" hidden="1">
      <c r="A815" t="s">
        <v>15</v>
      </c>
      <c r="B815" t="str">
        <f>"FES1162688474"</f>
        <v>FES1162688474</v>
      </c>
      <c r="C815" s="9">
        <v>43592</v>
      </c>
      <c r="D815">
        <v>1</v>
      </c>
      <c r="E815">
        <v>2170685014</v>
      </c>
      <c r="F815" t="s">
        <v>16</v>
      </c>
      <c r="G815" t="s">
        <v>17</v>
      </c>
      <c r="H815" t="s">
        <v>37</v>
      </c>
      <c r="I815" t="s">
        <v>38</v>
      </c>
      <c r="J815" t="s">
        <v>387</v>
      </c>
      <c r="K815" s="9">
        <v>43594</v>
      </c>
      <c r="L815" s="10">
        <v>0.43402777777777773</v>
      </c>
      <c r="M815" t="s">
        <v>1519</v>
      </c>
      <c r="N815" t="s">
        <v>1520</v>
      </c>
      <c r="O815" t="s">
        <v>22</v>
      </c>
    </row>
    <row r="816" spans="1:15" hidden="1">
      <c r="A816" t="s">
        <v>15</v>
      </c>
      <c r="B816" t="str">
        <f>"FES1162688515"</f>
        <v>FES1162688515</v>
      </c>
      <c r="C816" s="9">
        <v>43592</v>
      </c>
      <c r="D816">
        <v>1</v>
      </c>
      <c r="E816">
        <v>2170685386</v>
      </c>
      <c r="F816" t="s">
        <v>16</v>
      </c>
      <c r="G816" t="s">
        <v>17</v>
      </c>
      <c r="H816" t="s">
        <v>290</v>
      </c>
      <c r="I816" t="s">
        <v>291</v>
      </c>
      <c r="J816" t="s">
        <v>497</v>
      </c>
      <c r="K816" s="9">
        <v>43594</v>
      </c>
      <c r="L816" s="10">
        <v>0.42569444444444443</v>
      </c>
      <c r="M816" t="s">
        <v>1521</v>
      </c>
      <c r="N816" t="s">
        <v>1522</v>
      </c>
      <c r="O816" t="s">
        <v>22</v>
      </c>
    </row>
    <row r="817" spans="1:15" hidden="1">
      <c r="A817" t="s">
        <v>15</v>
      </c>
      <c r="B817" t="str">
        <f>"FES1162688402"</f>
        <v>FES1162688402</v>
      </c>
      <c r="C817" s="9">
        <v>43592</v>
      </c>
      <c r="D817">
        <v>1</v>
      </c>
      <c r="E817">
        <v>21706987041</v>
      </c>
      <c r="F817" t="s">
        <v>16</v>
      </c>
      <c r="G817" t="s">
        <v>17</v>
      </c>
      <c r="H817" t="s">
        <v>141</v>
      </c>
      <c r="I817" t="s">
        <v>142</v>
      </c>
      <c r="J817" t="s">
        <v>228</v>
      </c>
      <c r="K817" s="9">
        <v>43594</v>
      </c>
      <c r="L817" s="10">
        <v>0.39374999999999999</v>
      </c>
      <c r="M817" t="s">
        <v>229</v>
      </c>
      <c r="N817" t="s">
        <v>1523</v>
      </c>
      <c r="O817" t="s">
        <v>22</v>
      </c>
    </row>
    <row r="818" spans="1:15" hidden="1">
      <c r="A818" t="s">
        <v>15</v>
      </c>
      <c r="B818" t="str">
        <f>"FES1162688501"</f>
        <v>FES1162688501</v>
      </c>
      <c r="C818" s="9">
        <v>43592</v>
      </c>
      <c r="D818">
        <v>1</v>
      </c>
      <c r="E818">
        <v>2170685241</v>
      </c>
      <c r="F818" t="s">
        <v>16</v>
      </c>
      <c r="G818" t="s">
        <v>17</v>
      </c>
      <c r="H818" t="s">
        <v>43</v>
      </c>
      <c r="I818" t="s">
        <v>44</v>
      </c>
      <c r="J818" t="s">
        <v>1524</v>
      </c>
      <c r="K818" s="9">
        <v>43594</v>
      </c>
      <c r="L818" s="10">
        <v>0.41666666666666669</v>
      </c>
      <c r="M818" t="s">
        <v>1525</v>
      </c>
      <c r="N818" t="s">
        <v>1526</v>
      </c>
      <c r="O818" t="s">
        <v>22</v>
      </c>
    </row>
    <row r="819" spans="1:15" hidden="1">
      <c r="A819" t="s">
        <v>15</v>
      </c>
      <c r="B819" t="str">
        <f>"FES1162688458"</f>
        <v>FES1162688458</v>
      </c>
      <c r="C819" s="9">
        <v>43592</v>
      </c>
      <c r="D819">
        <v>1</v>
      </c>
      <c r="E819">
        <v>2170687285</v>
      </c>
      <c r="F819" t="s">
        <v>16</v>
      </c>
      <c r="G819" t="s">
        <v>17</v>
      </c>
      <c r="H819" t="s">
        <v>43</v>
      </c>
      <c r="I819" t="s">
        <v>44</v>
      </c>
      <c r="J819" t="s">
        <v>1527</v>
      </c>
      <c r="K819" s="9">
        <v>43594</v>
      </c>
      <c r="L819" s="10">
        <v>0.41666666666666669</v>
      </c>
      <c r="M819" t="s">
        <v>1528</v>
      </c>
      <c r="N819" t="s">
        <v>1529</v>
      </c>
      <c r="O819" t="s">
        <v>22</v>
      </c>
    </row>
    <row r="820" spans="1:15" hidden="1">
      <c r="A820" t="s">
        <v>15</v>
      </c>
      <c r="B820" t="str">
        <f>"FES1162688498"</f>
        <v>FES1162688498</v>
      </c>
      <c r="C820" s="9">
        <v>43592</v>
      </c>
      <c r="D820">
        <v>1</v>
      </c>
      <c r="E820">
        <v>2170685228</v>
      </c>
      <c r="F820" t="s">
        <v>16</v>
      </c>
      <c r="G820" t="s">
        <v>17</v>
      </c>
      <c r="H820" t="s">
        <v>43</v>
      </c>
      <c r="I820" t="s">
        <v>44</v>
      </c>
      <c r="J820" t="s">
        <v>751</v>
      </c>
      <c r="K820" s="9">
        <v>43594</v>
      </c>
      <c r="L820" s="10">
        <v>0.37222222222222223</v>
      </c>
      <c r="M820" t="s">
        <v>1530</v>
      </c>
      <c r="N820" t="s">
        <v>1531</v>
      </c>
      <c r="O820" t="s">
        <v>22</v>
      </c>
    </row>
    <row r="821" spans="1:15">
      <c r="A821" s="6" t="s">
        <v>15</v>
      </c>
      <c r="B821" s="6" t="str">
        <f>"FES1162688500"</f>
        <v>FES1162688500</v>
      </c>
      <c r="C821" s="7">
        <v>43592</v>
      </c>
      <c r="D821" s="6">
        <v>1</v>
      </c>
      <c r="E821" s="6">
        <v>2170685236</v>
      </c>
      <c r="F821" s="6" t="s">
        <v>16</v>
      </c>
      <c r="G821" s="6" t="s">
        <v>17</v>
      </c>
      <c r="H821" s="6" t="s">
        <v>17</v>
      </c>
      <c r="I821" s="6" t="s">
        <v>64</v>
      </c>
      <c r="J821" s="6" t="s">
        <v>1532</v>
      </c>
      <c r="K821" s="7">
        <v>43594</v>
      </c>
      <c r="L821" s="8">
        <v>0.38958333333333334</v>
      </c>
      <c r="M821" s="6" t="s">
        <v>1533</v>
      </c>
      <c r="N821" s="6" t="s">
        <v>21</v>
      </c>
      <c r="O821" s="6" t="s">
        <v>22</v>
      </c>
    </row>
    <row r="822" spans="1:15">
      <c r="A822" s="6" t="s">
        <v>15</v>
      </c>
      <c r="B822" s="6" t="str">
        <f>"FES1162688507"</f>
        <v>FES1162688507</v>
      </c>
      <c r="C822" s="7">
        <v>43592</v>
      </c>
      <c r="D822" s="6">
        <v>1</v>
      </c>
      <c r="E822" s="6">
        <v>2170685287</v>
      </c>
      <c r="F822" s="6" t="s">
        <v>16</v>
      </c>
      <c r="G822" s="6" t="s">
        <v>17</v>
      </c>
      <c r="H822" s="6" t="s">
        <v>17</v>
      </c>
      <c r="I822" s="6" t="s">
        <v>148</v>
      </c>
      <c r="J822" s="6" t="s">
        <v>153</v>
      </c>
      <c r="K822" s="7">
        <v>43594</v>
      </c>
      <c r="L822" s="8">
        <v>0.41805555555555557</v>
      </c>
      <c r="M822" s="6" t="s">
        <v>712</v>
      </c>
      <c r="N822" s="6" t="s">
        <v>21</v>
      </c>
      <c r="O822" s="6" t="s">
        <v>22</v>
      </c>
    </row>
    <row r="823" spans="1:15">
      <c r="A823" s="6" t="s">
        <v>15</v>
      </c>
      <c r="B823" s="6" t="str">
        <f>"RFES1162687319"</f>
        <v>RFES1162687319</v>
      </c>
      <c r="C823" s="7">
        <v>43592</v>
      </c>
      <c r="D823" s="6">
        <v>1</v>
      </c>
      <c r="E823" s="6">
        <v>2170684742</v>
      </c>
      <c r="F823" s="6" t="s">
        <v>16</v>
      </c>
      <c r="G823" s="6" t="s">
        <v>141</v>
      </c>
      <c r="H823" s="6" t="s">
        <v>17</v>
      </c>
      <c r="I823" s="6" t="s">
        <v>64</v>
      </c>
      <c r="J823" s="6" t="s">
        <v>476</v>
      </c>
      <c r="K823" s="7">
        <v>43594</v>
      </c>
      <c r="L823" s="8">
        <v>0.37291666666666662</v>
      </c>
      <c r="M823" s="6" t="s">
        <v>325</v>
      </c>
      <c r="N823" s="6" t="s">
        <v>21</v>
      </c>
      <c r="O823" s="6" t="s">
        <v>22</v>
      </c>
    </row>
    <row r="824" spans="1:15">
      <c r="A824" s="6" t="s">
        <v>15</v>
      </c>
      <c r="B824" s="6" t="str">
        <f>"FES1162688556"</f>
        <v>FES1162688556</v>
      </c>
      <c r="C824" s="7">
        <v>43592</v>
      </c>
      <c r="D824" s="6">
        <v>1</v>
      </c>
      <c r="E824" s="6">
        <v>2170687302</v>
      </c>
      <c r="F824" s="6" t="s">
        <v>16</v>
      </c>
      <c r="G824" s="6" t="s">
        <v>17</v>
      </c>
      <c r="H824" s="6" t="s">
        <v>17</v>
      </c>
      <c r="I824" s="6" t="s">
        <v>103</v>
      </c>
      <c r="J824" s="6" t="s">
        <v>1534</v>
      </c>
      <c r="K824" s="7">
        <v>43594</v>
      </c>
      <c r="L824" s="8">
        <v>0.4375</v>
      </c>
      <c r="M824" s="6" t="s">
        <v>325</v>
      </c>
      <c r="N824" s="6" t="s">
        <v>21</v>
      </c>
      <c r="O824" s="6" t="s">
        <v>22</v>
      </c>
    </row>
    <row r="825" spans="1:15">
      <c r="A825" s="6" t="s">
        <v>15</v>
      </c>
      <c r="B825" s="6" t="str">
        <f>"FES1162688374"</f>
        <v>FES1162688374</v>
      </c>
      <c r="C825" s="7">
        <v>43592</v>
      </c>
      <c r="D825" s="6">
        <v>1</v>
      </c>
      <c r="E825" s="6">
        <v>2170684465</v>
      </c>
      <c r="F825" s="6" t="s">
        <v>16</v>
      </c>
      <c r="G825" s="6" t="s">
        <v>17</v>
      </c>
      <c r="H825" s="6" t="s">
        <v>17</v>
      </c>
      <c r="I825" s="6" t="s">
        <v>64</v>
      </c>
      <c r="J825" s="6" t="s">
        <v>817</v>
      </c>
      <c r="K825" s="7">
        <v>43594</v>
      </c>
      <c r="L825" s="8">
        <v>0.39583333333333331</v>
      </c>
      <c r="M825" s="6" t="s">
        <v>100</v>
      </c>
      <c r="N825" s="6" t="s">
        <v>21</v>
      </c>
      <c r="O825" s="6" t="s">
        <v>22</v>
      </c>
    </row>
    <row r="826" spans="1:15">
      <c r="A826" s="6" t="s">
        <v>15</v>
      </c>
      <c r="B826" s="6" t="str">
        <f>"FES1162688597"</f>
        <v>FES1162688597</v>
      </c>
      <c r="C826" s="7">
        <v>43592</v>
      </c>
      <c r="D826" s="6">
        <v>1</v>
      </c>
      <c r="E826" s="6">
        <v>217068352</v>
      </c>
      <c r="F826" s="6" t="s">
        <v>16</v>
      </c>
      <c r="G826" s="6" t="s">
        <v>17</v>
      </c>
      <c r="H826" s="6" t="s">
        <v>17</v>
      </c>
      <c r="I826" s="6" t="s">
        <v>701</v>
      </c>
      <c r="J826" s="6" t="s">
        <v>1379</v>
      </c>
      <c r="K826" s="7">
        <v>43594</v>
      </c>
      <c r="L826" s="8">
        <v>0.33333333333333331</v>
      </c>
      <c r="M826" s="6" t="s">
        <v>579</v>
      </c>
      <c r="N826" s="6" t="s">
        <v>21</v>
      </c>
      <c r="O826" s="6" t="s">
        <v>22</v>
      </c>
    </row>
    <row r="827" spans="1:15">
      <c r="A827" s="6" t="s">
        <v>15</v>
      </c>
      <c r="B827" s="6" t="str">
        <f>"FES1162688589"</f>
        <v>FES1162688589</v>
      </c>
      <c r="C827" s="7">
        <v>43592</v>
      </c>
      <c r="D827" s="6">
        <v>1</v>
      </c>
      <c r="E827" s="6">
        <v>21706873337</v>
      </c>
      <c r="F827" s="6" t="s">
        <v>16</v>
      </c>
      <c r="G827" s="6" t="s">
        <v>17</v>
      </c>
      <c r="H827" s="6" t="s">
        <v>17</v>
      </c>
      <c r="I827" s="6" t="s">
        <v>421</v>
      </c>
      <c r="J827" s="6" t="s">
        <v>1535</v>
      </c>
      <c r="K827" s="7">
        <v>43594</v>
      </c>
      <c r="L827" s="8">
        <v>0.37986111111111115</v>
      </c>
      <c r="M827" s="6" t="s">
        <v>1536</v>
      </c>
      <c r="N827" s="6" t="s">
        <v>21</v>
      </c>
      <c r="O827" s="6" t="s">
        <v>22</v>
      </c>
    </row>
    <row r="828" spans="1:15">
      <c r="A828" s="6" t="s">
        <v>15</v>
      </c>
      <c r="B828" s="6" t="str">
        <f>"FES1162688579"</f>
        <v>FES1162688579</v>
      </c>
      <c r="C828" s="7">
        <v>43592</v>
      </c>
      <c r="D828" s="6">
        <v>1</v>
      </c>
      <c r="E828" s="6">
        <v>2170687331</v>
      </c>
      <c r="F828" s="6" t="s">
        <v>16</v>
      </c>
      <c r="G828" s="6" t="s">
        <v>17</v>
      </c>
      <c r="H828" s="6" t="s">
        <v>17</v>
      </c>
      <c r="I828" s="6" t="s">
        <v>103</v>
      </c>
      <c r="J828" s="6" t="s">
        <v>870</v>
      </c>
      <c r="K828" s="7">
        <v>43594</v>
      </c>
      <c r="L828" s="8">
        <v>0.4375</v>
      </c>
      <c r="M828" s="6" t="s">
        <v>871</v>
      </c>
      <c r="N828" s="6" t="s">
        <v>21</v>
      </c>
      <c r="O828" s="6" t="s">
        <v>22</v>
      </c>
    </row>
    <row r="829" spans="1:15">
      <c r="A829" s="6" t="s">
        <v>15</v>
      </c>
      <c r="B829" s="6" t="str">
        <f>"FES1162688622"</f>
        <v>FES1162688622</v>
      </c>
      <c r="C829" s="7">
        <v>43592</v>
      </c>
      <c r="D829" s="6">
        <v>1</v>
      </c>
      <c r="E829" s="6">
        <v>2170687388</v>
      </c>
      <c r="F829" s="6" t="s">
        <v>16</v>
      </c>
      <c r="G829" s="6" t="s">
        <v>17</v>
      </c>
      <c r="H829" s="6" t="s">
        <v>17</v>
      </c>
      <c r="I829" s="6" t="s">
        <v>103</v>
      </c>
      <c r="J829" s="6" t="s">
        <v>616</v>
      </c>
      <c r="K829" s="7">
        <v>43594</v>
      </c>
      <c r="L829" s="8">
        <v>0.41666666666666669</v>
      </c>
      <c r="M829" s="6" t="s">
        <v>325</v>
      </c>
      <c r="N829" s="6" t="s">
        <v>21</v>
      </c>
      <c r="O829" s="6" t="s">
        <v>22</v>
      </c>
    </row>
    <row r="830" spans="1:15">
      <c r="A830" s="6" t="s">
        <v>15</v>
      </c>
      <c r="B830" s="6" t="str">
        <f>"FES1162688580"</f>
        <v>FES1162688580</v>
      </c>
      <c r="C830" s="7">
        <v>43592</v>
      </c>
      <c r="D830" s="6">
        <v>1</v>
      </c>
      <c r="E830" s="6">
        <v>2170687332</v>
      </c>
      <c r="F830" s="6" t="s">
        <v>16</v>
      </c>
      <c r="G830" s="6" t="s">
        <v>17</v>
      </c>
      <c r="H830" s="6" t="s">
        <v>17</v>
      </c>
      <c r="I830" s="6" t="s">
        <v>23</v>
      </c>
      <c r="J830" s="6" t="s">
        <v>158</v>
      </c>
      <c r="K830" s="7">
        <v>43594</v>
      </c>
      <c r="L830" s="8">
        <v>0.35416666666666669</v>
      </c>
      <c r="M830" s="6" t="s">
        <v>1537</v>
      </c>
      <c r="N830" s="6" t="s">
        <v>21</v>
      </c>
      <c r="O830" s="6" t="s">
        <v>22</v>
      </c>
    </row>
    <row r="831" spans="1:15">
      <c r="A831" s="6" t="s">
        <v>15</v>
      </c>
      <c r="B831" s="6" t="str">
        <f>"FES1162688607"</f>
        <v>FES1162688607</v>
      </c>
      <c r="C831" s="7">
        <v>43592</v>
      </c>
      <c r="D831" s="6">
        <v>1</v>
      </c>
      <c r="E831" s="6">
        <v>2170687365</v>
      </c>
      <c r="F831" s="6" t="s">
        <v>16</v>
      </c>
      <c r="G831" s="6" t="s">
        <v>17</v>
      </c>
      <c r="H831" s="6" t="s">
        <v>17</v>
      </c>
      <c r="I831" s="6" t="s">
        <v>414</v>
      </c>
      <c r="J831" s="6" t="s">
        <v>1538</v>
      </c>
      <c r="K831" s="7">
        <v>43595</v>
      </c>
      <c r="L831" s="8">
        <v>0.6</v>
      </c>
      <c r="M831" s="6" t="s">
        <v>1539</v>
      </c>
      <c r="N831" s="6" t="s">
        <v>21</v>
      </c>
      <c r="O831" s="6" t="s">
        <v>22</v>
      </c>
    </row>
    <row r="832" spans="1:15">
      <c r="A832" s="6" t="s">
        <v>15</v>
      </c>
      <c r="B832" s="6" t="str">
        <f>"FES1162688563"</f>
        <v>FES1162688563</v>
      </c>
      <c r="C832" s="7">
        <v>43592</v>
      </c>
      <c r="D832" s="6">
        <v>1</v>
      </c>
      <c r="E832" s="6">
        <v>2170687311</v>
      </c>
      <c r="F832" s="6" t="s">
        <v>16</v>
      </c>
      <c r="G832" s="6" t="s">
        <v>17</v>
      </c>
      <c r="H832" s="6" t="s">
        <v>17</v>
      </c>
      <c r="I832" s="6" t="s">
        <v>29</v>
      </c>
      <c r="J832" s="6" t="s">
        <v>616</v>
      </c>
      <c r="K832" s="7">
        <v>43594</v>
      </c>
      <c r="L832" s="8">
        <v>0.36805555555555558</v>
      </c>
      <c r="M832" s="6" t="s">
        <v>1540</v>
      </c>
      <c r="N832" s="6" t="s">
        <v>21</v>
      </c>
      <c r="O832" s="6" t="s">
        <v>22</v>
      </c>
    </row>
    <row r="833" spans="1:15" hidden="1">
      <c r="A833" t="s">
        <v>15</v>
      </c>
      <c r="B833" t="str">
        <f>"FES1162688473"</f>
        <v>FES1162688473</v>
      </c>
      <c r="C833" s="9">
        <v>43592</v>
      </c>
      <c r="D833">
        <v>1</v>
      </c>
      <c r="E833">
        <v>2170684986</v>
      </c>
      <c r="F833" t="s">
        <v>16</v>
      </c>
      <c r="G833" t="s">
        <v>17</v>
      </c>
      <c r="H833" t="s">
        <v>32</v>
      </c>
      <c r="I833" t="s">
        <v>33</v>
      </c>
      <c r="J833" t="s">
        <v>832</v>
      </c>
      <c r="K833" s="9">
        <v>43594</v>
      </c>
      <c r="L833" s="10">
        <v>0.4201388888888889</v>
      </c>
      <c r="M833" t="s">
        <v>1541</v>
      </c>
      <c r="N833" t="s">
        <v>1542</v>
      </c>
      <c r="O833" t="s">
        <v>22</v>
      </c>
    </row>
    <row r="834" spans="1:15" hidden="1">
      <c r="A834" t="s">
        <v>15</v>
      </c>
      <c r="B834" t="str">
        <f>"FES1162688478"</f>
        <v>FES1162688478</v>
      </c>
      <c r="C834" s="9">
        <v>43592</v>
      </c>
      <c r="D834">
        <v>1</v>
      </c>
      <c r="E834">
        <v>2170685073</v>
      </c>
      <c r="F834" t="s">
        <v>16</v>
      </c>
      <c r="G834" t="s">
        <v>17</v>
      </c>
      <c r="H834" t="s">
        <v>141</v>
      </c>
      <c r="I834" t="s">
        <v>185</v>
      </c>
      <c r="J834" t="s">
        <v>1543</v>
      </c>
      <c r="K834" s="9">
        <v>43594</v>
      </c>
      <c r="L834" s="10">
        <v>0.42777777777777781</v>
      </c>
      <c r="M834" t="s">
        <v>1544</v>
      </c>
      <c r="N834" t="s">
        <v>1545</v>
      </c>
      <c r="O834" t="s">
        <v>22</v>
      </c>
    </row>
    <row r="835" spans="1:15" hidden="1">
      <c r="A835" t="s">
        <v>15</v>
      </c>
      <c r="B835" t="str">
        <f>"FES1162688595"</f>
        <v>FES1162688595</v>
      </c>
      <c r="C835" s="9">
        <v>43592</v>
      </c>
      <c r="D835">
        <v>1</v>
      </c>
      <c r="E835">
        <v>2170687349</v>
      </c>
      <c r="F835" t="s">
        <v>16</v>
      </c>
      <c r="G835" t="s">
        <v>17</v>
      </c>
      <c r="H835" t="s">
        <v>440</v>
      </c>
      <c r="I835" t="s">
        <v>1546</v>
      </c>
      <c r="J835" t="s">
        <v>1547</v>
      </c>
      <c r="K835" s="9">
        <v>43594</v>
      </c>
      <c r="L835" s="10">
        <v>0.375</v>
      </c>
      <c r="M835" t="s">
        <v>1548</v>
      </c>
      <c r="N835" t="s">
        <v>1549</v>
      </c>
      <c r="O835" t="s">
        <v>22</v>
      </c>
    </row>
    <row r="836" spans="1:15" hidden="1">
      <c r="A836" t="s">
        <v>15</v>
      </c>
      <c r="B836" t="str">
        <f>"FES1162688488"</f>
        <v>FES1162688488</v>
      </c>
      <c r="C836" s="9">
        <v>43592</v>
      </c>
      <c r="D836">
        <v>1</v>
      </c>
      <c r="E836">
        <v>2170685183</v>
      </c>
      <c r="F836" t="s">
        <v>16</v>
      </c>
      <c r="G836" t="s">
        <v>17</v>
      </c>
      <c r="H836" t="s">
        <v>141</v>
      </c>
      <c r="I836" t="s">
        <v>142</v>
      </c>
      <c r="J836" t="s">
        <v>228</v>
      </c>
      <c r="K836" s="9">
        <v>43594</v>
      </c>
      <c r="L836" s="10">
        <v>0.39374999999999999</v>
      </c>
      <c r="M836" t="s">
        <v>229</v>
      </c>
      <c r="N836" t="s">
        <v>1550</v>
      </c>
      <c r="O836" t="s">
        <v>22</v>
      </c>
    </row>
    <row r="837" spans="1:15" hidden="1">
      <c r="A837" t="s">
        <v>15</v>
      </c>
      <c r="B837" t="str">
        <f>"FES1162688502"</f>
        <v>FES1162688502</v>
      </c>
      <c r="C837" s="9">
        <v>43592</v>
      </c>
      <c r="D837">
        <v>1</v>
      </c>
      <c r="E837">
        <v>2170685242</v>
      </c>
      <c r="F837" t="s">
        <v>16</v>
      </c>
      <c r="G837" t="s">
        <v>17</v>
      </c>
      <c r="H837" t="s">
        <v>440</v>
      </c>
      <c r="I837" t="s">
        <v>1546</v>
      </c>
      <c r="J837" t="s">
        <v>1547</v>
      </c>
      <c r="K837" s="9">
        <v>43594</v>
      </c>
      <c r="L837" s="10">
        <v>0.375</v>
      </c>
      <c r="M837" t="s">
        <v>1548</v>
      </c>
      <c r="N837" t="s">
        <v>1551</v>
      </c>
      <c r="O837" t="s">
        <v>22</v>
      </c>
    </row>
    <row r="838" spans="1:15" hidden="1">
      <c r="A838" t="s">
        <v>15</v>
      </c>
      <c r="B838" t="str">
        <f>"FES1162688565"</f>
        <v>FES1162688565</v>
      </c>
      <c r="C838" s="9">
        <v>43592</v>
      </c>
      <c r="D838">
        <v>1</v>
      </c>
      <c r="E838">
        <v>2170687255</v>
      </c>
      <c r="F838" t="s">
        <v>16</v>
      </c>
      <c r="G838" t="s">
        <v>17</v>
      </c>
      <c r="H838" t="s">
        <v>141</v>
      </c>
      <c r="I838" t="s">
        <v>142</v>
      </c>
      <c r="J838" t="s">
        <v>228</v>
      </c>
      <c r="K838" s="9">
        <v>43594</v>
      </c>
      <c r="L838" s="10">
        <v>0.39444444444444443</v>
      </c>
      <c r="M838" t="s">
        <v>229</v>
      </c>
      <c r="N838" t="s">
        <v>1552</v>
      </c>
      <c r="O838" t="s">
        <v>22</v>
      </c>
    </row>
    <row r="839" spans="1:15" hidden="1">
      <c r="A839" t="s">
        <v>15</v>
      </c>
      <c r="B839" t="str">
        <f>"FES1162688158"</f>
        <v>FES1162688158</v>
      </c>
      <c r="C839" s="9">
        <v>43592</v>
      </c>
      <c r="D839">
        <v>1</v>
      </c>
      <c r="E839">
        <v>2170686985</v>
      </c>
      <c r="F839" t="s">
        <v>16</v>
      </c>
      <c r="G839" t="s">
        <v>17</v>
      </c>
      <c r="H839" t="s">
        <v>300</v>
      </c>
      <c r="I839" t="s">
        <v>1553</v>
      </c>
      <c r="J839" t="s">
        <v>1554</v>
      </c>
      <c r="K839" s="9">
        <v>43594</v>
      </c>
      <c r="L839" s="10">
        <v>0.34166666666666662</v>
      </c>
      <c r="M839" t="s">
        <v>1555</v>
      </c>
      <c r="N839" t="s">
        <v>1556</v>
      </c>
      <c r="O839" t="s">
        <v>22</v>
      </c>
    </row>
    <row r="840" spans="1:15" hidden="1">
      <c r="A840" t="s">
        <v>15</v>
      </c>
      <c r="B840" t="str">
        <f>"FES1162688511"</f>
        <v>FES1162688511</v>
      </c>
      <c r="C840" s="9">
        <v>43592</v>
      </c>
      <c r="D840">
        <v>1</v>
      </c>
      <c r="E840">
        <v>2170685326</v>
      </c>
      <c r="F840" t="s">
        <v>16</v>
      </c>
      <c r="G840" t="s">
        <v>17</v>
      </c>
      <c r="H840" t="s">
        <v>132</v>
      </c>
      <c r="I840" t="s">
        <v>133</v>
      </c>
      <c r="J840" t="s">
        <v>189</v>
      </c>
      <c r="K840" s="9">
        <v>43594</v>
      </c>
      <c r="L840" s="10">
        <v>0.43263888888888885</v>
      </c>
      <c r="M840" t="s">
        <v>1415</v>
      </c>
      <c r="N840" t="s">
        <v>1557</v>
      </c>
      <c r="O840" t="s">
        <v>22</v>
      </c>
    </row>
    <row r="841" spans="1:15" hidden="1">
      <c r="A841" t="s">
        <v>15</v>
      </c>
      <c r="B841" t="str">
        <f>"FES1162688567"</f>
        <v>FES1162688567</v>
      </c>
      <c r="C841" s="9">
        <v>43592</v>
      </c>
      <c r="D841">
        <v>1</v>
      </c>
      <c r="E841">
        <v>2170687300</v>
      </c>
      <c r="F841" t="s">
        <v>16</v>
      </c>
      <c r="G841" t="s">
        <v>17</v>
      </c>
      <c r="H841" t="s">
        <v>141</v>
      </c>
      <c r="I841" t="s">
        <v>142</v>
      </c>
      <c r="J841" t="s">
        <v>228</v>
      </c>
      <c r="K841" s="9">
        <v>43594</v>
      </c>
      <c r="L841" s="10">
        <v>0.39374999999999999</v>
      </c>
      <c r="M841" t="s">
        <v>229</v>
      </c>
      <c r="N841" t="s">
        <v>1558</v>
      </c>
      <c r="O841" t="s">
        <v>22</v>
      </c>
    </row>
    <row r="842" spans="1:15" hidden="1">
      <c r="A842" t="s">
        <v>15</v>
      </c>
      <c r="B842" t="str">
        <f>"FES1162688626"</f>
        <v>FES1162688626</v>
      </c>
      <c r="C842" s="9">
        <v>43592</v>
      </c>
      <c r="D842">
        <v>1</v>
      </c>
      <c r="E842">
        <v>2170687395</v>
      </c>
      <c r="F842" t="s">
        <v>16</v>
      </c>
      <c r="G842" t="s">
        <v>17</v>
      </c>
      <c r="H842" t="s">
        <v>141</v>
      </c>
      <c r="I842" t="s">
        <v>142</v>
      </c>
      <c r="J842" t="s">
        <v>864</v>
      </c>
      <c r="K842" s="9">
        <v>43594</v>
      </c>
      <c r="L842" s="10">
        <v>0.37222222222222223</v>
      </c>
      <c r="M842" t="s">
        <v>1409</v>
      </c>
      <c r="N842" t="s">
        <v>1559</v>
      </c>
      <c r="O842" t="s">
        <v>22</v>
      </c>
    </row>
    <row r="843" spans="1:15" hidden="1">
      <c r="A843" t="s">
        <v>15</v>
      </c>
      <c r="B843" t="str">
        <f>"FES1162688625"</f>
        <v>FES1162688625</v>
      </c>
      <c r="C843" s="9">
        <v>43592</v>
      </c>
      <c r="D843">
        <v>1</v>
      </c>
      <c r="E843">
        <v>2170687394</v>
      </c>
      <c r="F843" t="s">
        <v>16</v>
      </c>
      <c r="G843" t="s">
        <v>17</v>
      </c>
      <c r="H843" t="s">
        <v>141</v>
      </c>
      <c r="I843" t="s">
        <v>142</v>
      </c>
      <c r="J843" t="s">
        <v>213</v>
      </c>
      <c r="K843" s="9">
        <v>43594</v>
      </c>
      <c r="L843" s="10">
        <v>0.37291666666666662</v>
      </c>
      <c r="M843" t="s">
        <v>214</v>
      </c>
      <c r="N843" t="s">
        <v>1560</v>
      </c>
      <c r="O843" t="s">
        <v>22</v>
      </c>
    </row>
    <row r="844" spans="1:15" hidden="1">
      <c r="A844" t="s">
        <v>15</v>
      </c>
      <c r="B844" t="str">
        <f>"FES1162688529"</f>
        <v>FES1162688529</v>
      </c>
      <c r="C844" s="9">
        <v>43592</v>
      </c>
      <c r="D844">
        <v>1</v>
      </c>
      <c r="E844">
        <v>2170685585</v>
      </c>
      <c r="F844" t="s">
        <v>16</v>
      </c>
      <c r="G844" t="s">
        <v>17</v>
      </c>
      <c r="H844" t="s">
        <v>37</v>
      </c>
      <c r="I844" t="s">
        <v>38</v>
      </c>
      <c r="J844" t="s">
        <v>39</v>
      </c>
      <c r="K844" s="9">
        <v>43594</v>
      </c>
      <c r="L844" s="10">
        <v>0.3520833333333333</v>
      </c>
      <c r="M844" t="s">
        <v>1441</v>
      </c>
      <c r="N844" t="s">
        <v>1561</v>
      </c>
      <c r="O844" t="s">
        <v>22</v>
      </c>
    </row>
    <row r="845" spans="1:15" hidden="1">
      <c r="A845" t="s">
        <v>15</v>
      </c>
      <c r="B845" t="str">
        <f>"FES1162688482"</f>
        <v>FES1162688482</v>
      </c>
      <c r="C845" s="9">
        <v>43592</v>
      </c>
      <c r="D845">
        <v>1</v>
      </c>
      <c r="E845">
        <v>2170685103</v>
      </c>
      <c r="F845" t="s">
        <v>16</v>
      </c>
      <c r="G845" t="s">
        <v>17</v>
      </c>
      <c r="H845" t="s">
        <v>290</v>
      </c>
      <c r="I845" t="s">
        <v>291</v>
      </c>
      <c r="J845" t="s">
        <v>1562</v>
      </c>
      <c r="K845" s="9">
        <v>43594</v>
      </c>
      <c r="L845" s="10">
        <v>0.3888888888888889</v>
      </c>
      <c r="M845" t="s">
        <v>1563</v>
      </c>
      <c r="N845" t="s">
        <v>1564</v>
      </c>
      <c r="O845" t="s">
        <v>22</v>
      </c>
    </row>
    <row r="846" spans="1:15" hidden="1">
      <c r="A846" t="s">
        <v>15</v>
      </c>
      <c r="B846" t="str">
        <f>"FES1162688503"</f>
        <v>FES1162688503</v>
      </c>
      <c r="C846" s="9">
        <v>43592</v>
      </c>
      <c r="D846">
        <v>1</v>
      </c>
      <c r="E846">
        <v>2170685272</v>
      </c>
      <c r="F846" t="s">
        <v>16</v>
      </c>
      <c r="G846" t="s">
        <v>17</v>
      </c>
      <c r="H846" t="s">
        <v>32</v>
      </c>
      <c r="I846" t="s">
        <v>33</v>
      </c>
      <c r="J846" t="s">
        <v>1125</v>
      </c>
      <c r="K846" s="9">
        <v>43594</v>
      </c>
      <c r="L846" s="10">
        <v>0.37152777777777773</v>
      </c>
      <c r="M846" t="s">
        <v>1565</v>
      </c>
      <c r="N846" t="s">
        <v>1566</v>
      </c>
      <c r="O846" t="s">
        <v>22</v>
      </c>
    </row>
    <row r="847" spans="1:15" hidden="1">
      <c r="A847" t="s">
        <v>15</v>
      </c>
      <c r="B847" t="str">
        <f>"FES1162688426"</f>
        <v>FES1162688426</v>
      </c>
      <c r="C847" s="9">
        <v>43592</v>
      </c>
      <c r="D847">
        <v>1</v>
      </c>
      <c r="E847">
        <v>2170687224</v>
      </c>
      <c r="F847" t="s">
        <v>16</v>
      </c>
      <c r="G847" t="s">
        <v>17</v>
      </c>
      <c r="H847" t="s">
        <v>32</v>
      </c>
      <c r="I847" t="s">
        <v>33</v>
      </c>
      <c r="J847" t="s">
        <v>778</v>
      </c>
      <c r="K847" s="9">
        <v>43594</v>
      </c>
      <c r="L847" s="10">
        <v>0.40763888888888888</v>
      </c>
      <c r="M847" t="s">
        <v>779</v>
      </c>
      <c r="N847" t="s">
        <v>1567</v>
      </c>
      <c r="O847" t="s">
        <v>22</v>
      </c>
    </row>
    <row r="848" spans="1:15" hidden="1">
      <c r="A848" t="s">
        <v>15</v>
      </c>
      <c r="B848" t="str">
        <f>"FES1162688497"</f>
        <v>FES1162688497</v>
      </c>
      <c r="C848" s="9">
        <v>43592</v>
      </c>
      <c r="D848">
        <v>1</v>
      </c>
      <c r="E848">
        <v>2170685227</v>
      </c>
      <c r="F848" t="s">
        <v>16</v>
      </c>
      <c r="G848" t="s">
        <v>17</v>
      </c>
      <c r="H848" t="s">
        <v>32</v>
      </c>
      <c r="I848" t="s">
        <v>269</v>
      </c>
      <c r="J848" t="s">
        <v>1568</v>
      </c>
      <c r="K848" s="9">
        <v>43594</v>
      </c>
      <c r="L848" s="10">
        <v>0.34027777777777773</v>
      </c>
      <c r="M848" t="s">
        <v>1569</v>
      </c>
      <c r="N848" t="s">
        <v>1570</v>
      </c>
      <c r="O848" t="s">
        <v>22</v>
      </c>
    </row>
    <row r="849" spans="1:15" hidden="1">
      <c r="A849" t="s">
        <v>15</v>
      </c>
      <c r="B849" t="str">
        <f>"FES1162688494"</f>
        <v>FES1162688494</v>
      </c>
      <c r="C849" s="9">
        <v>43592</v>
      </c>
      <c r="D849">
        <v>1</v>
      </c>
      <c r="E849">
        <v>2170685205</v>
      </c>
      <c r="F849" t="s">
        <v>16</v>
      </c>
      <c r="G849" t="s">
        <v>17</v>
      </c>
      <c r="H849" t="s">
        <v>37</v>
      </c>
      <c r="I849" t="s">
        <v>38</v>
      </c>
      <c r="J849" t="s">
        <v>387</v>
      </c>
      <c r="K849" s="9">
        <v>43594</v>
      </c>
      <c r="L849" s="10">
        <v>0.43402777777777773</v>
      </c>
      <c r="M849" t="s">
        <v>1519</v>
      </c>
      <c r="N849" t="s">
        <v>1571</v>
      </c>
      <c r="O849" t="s">
        <v>22</v>
      </c>
    </row>
    <row r="850" spans="1:15" hidden="1">
      <c r="A850" t="s">
        <v>15</v>
      </c>
      <c r="B850" t="str">
        <f>"FES1162688583"</f>
        <v>FES1162688583</v>
      </c>
      <c r="C850" s="9">
        <v>43592</v>
      </c>
      <c r="D850">
        <v>1</v>
      </c>
      <c r="E850">
        <v>2170686045</v>
      </c>
      <c r="F850" t="s">
        <v>16</v>
      </c>
      <c r="G850" t="s">
        <v>17</v>
      </c>
      <c r="H850" t="s">
        <v>32</v>
      </c>
      <c r="I850" t="s">
        <v>269</v>
      </c>
      <c r="J850" t="s">
        <v>683</v>
      </c>
      <c r="K850" s="9">
        <v>43594</v>
      </c>
      <c r="L850" s="10">
        <v>0.34722222222222227</v>
      </c>
      <c r="M850" t="s">
        <v>684</v>
      </c>
      <c r="N850" t="s">
        <v>1572</v>
      </c>
      <c r="O850" t="s">
        <v>22</v>
      </c>
    </row>
    <row r="851" spans="1:15" hidden="1">
      <c r="A851" t="s">
        <v>15</v>
      </c>
      <c r="B851" t="str">
        <f>"FES1162688547"</f>
        <v>FES1162688547</v>
      </c>
      <c r="C851" s="9">
        <v>43592</v>
      </c>
      <c r="D851">
        <v>1</v>
      </c>
      <c r="E851">
        <v>2170682621</v>
      </c>
      <c r="F851" t="s">
        <v>16</v>
      </c>
      <c r="G851" t="s">
        <v>17</v>
      </c>
      <c r="H851" t="s">
        <v>32</v>
      </c>
      <c r="I851" t="s">
        <v>33</v>
      </c>
      <c r="J851" t="s">
        <v>34</v>
      </c>
      <c r="K851" s="9">
        <v>43594</v>
      </c>
      <c r="L851" s="10">
        <v>0.33680555555555558</v>
      </c>
      <c r="M851" t="s">
        <v>35</v>
      </c>
      <c r="N851" t="s">
        <v>1573</v>
      </c>
      <c r="O851" t="s">
        <v>22</v>
      </c>
    </row>
    <row r="852" spans="1:15">
      <c r="A852" s="6" t="s">
        <v>15</v>
      </c>
      <c r="B852" s="6" t="str">
        <f>"FES1162688576"</f>
        <v>FES1162688576</v>
      </c>
      <c r="C852" s="7">
        <v>43592</v>
      </c>
      <c r="D852" s="6">
        <v>2</v>
      </c>
      <c r="E852" s="6">
        <v>2170687326</v>
      </c>
      <c r="F852" s="6" t="s">
        <v>16</v>
      </c>
      <c r="G852" s="6" t="s">
        <v>17</v>
      </c>
      <c r="H852" s="6" t="s">
        <v>17</v>
      </c>
      <c r="I852" s="6" t="s">
        <v>18</v>
      </c>
      <c r="J852" s="6" t="s">
        <v>19</v>
      </c>
      <c r="K852" s="7">
        <v>43594</v>
      </c>
      <c r="L852" s="8">
        <v>0.40069444444444446</v>
      </c>
      <c r="M852" s="6" t="s">
        <v>1327</v>
      </c>
      <c r="N852" s="6" t="s">
        <v>21</v>
      </c>
      <c r="O852" s="6" t="s">
        <v>22</v>
      </c>
    </row>
    <row r="853" spans="1:15" hidden="1">
      <c r="A853" t="s">
        <v>15</v>
      </c>
      <c r="B853" t="str">
        <f>"FES1162688370"</f>
        <v>FES1162688370</v>
      </c>
      <c r="C853" s="9">
        <v>43592</v>
      </c>
      <c r="D853">
        <v>1</v>
      </c>
      <c r="E853">
        <v>2170684115</v>
      </c>
      <c r="F853" t="s">
        <v>16</v>
      </c>
      <c r="G853" t="s">
        <v>17</v>
      </c>
      <c r="H853" t="s">
        <v>290</v>
      </c>
      <c r="I853" t="s">
        <v>316</v>
      </c>
      <c r="J853" t="s">
        <v>317</v>
      </c>
      <c r="K853" s="9">
        <v>43594</v>
      </c>
      <c r="L853" s="10">
        <v>0.5625</v>
      </c>
      <c r="M853" t="s">
        <v>1574</v>
      </c>
      <c r="N853" t="s">
        <v>1575</v>
      </c>
      <c r="O853" t="s">
        <v>22</v>
      </c>
    </row>
    <row r="854" spans="1:15" hidden="1">
      <c r="A854" t="s">
        <v>15</v>
      </c>
      <c r="B854" t="str">
        <f>"FES1162688367"</f>
        <v>FES1162688367</v>
      </c>
      <c r="C854" s="9">
        <v>43592</v>
      </c>
      <c r="D854">
        <v>1</v>
      </c>
      <c r="E854">
        <v>2170683746</v>
      </c>
      <c r="F854" t="s">
        <v>16</v>
      </c>
      <c r="G854" t="s">
        <v>17</v>
      </c>
      <c r="H854" t="s">
        <v>290</v>
      </c>
      <c r="I854" t="s">
        <v>316</v>
      </c>
      <c r="J854" t="s">
        <v>317</v>
      </c>
      <c r="K854" s="9">
        <v>43594</v>
      </c>
      <c r="L854" s="10">
        <v>0.5625</v>
      </c>
      <c r="M854" t="s">
        <v>1574</v>
      </c>
      <c r="N854" t="s">
        <v>1576</v>
      </c>
      <c r="O854" t="s">
        <v>22</v>
      </c>
    </row>
    <row r="855" spans="1:15" hidden="1">
      <c r="A855" t="s">
        <v>15</v>
      </c>
      <c r="B855" t="str">
        <f>"FES1162688591"</f>
        <v>FES1162688591</v>
      </c>
      <c r="C855" s="9">
        <v>43592</v>
      </c>
      <c r="D855">
        <v>1</v>
      </c>
      <c r="E855">
        <v>2170687341</v>
      </c>
      <c r="F855" t="s">
        <v>16</v>
      </c>
      <c r="G855" t="s">
        <v>17</v>
      </c>
      <c r="H855" t="s">
        <v>141</v>
      </c>
      <c r="I855" t="s">
        <v>142</v>
      </c>
      <c r="J855" t="s">
        <v>864</v>
      </c>
      <c r="K855" s="9">
        <v>43594</v>
      </c>
      <c r="L855" s="10">
        <v>0.37222222222222223</v>
      </c>
      <c r="M855" t="s">
        <v>1409</v>
      </c>
      <c r="N855" t="s">
        <v>1577</v>
      </c>
      <c r="O855" t="s">
        <v>22</v>
      </c>
    </row>
    <row r="856" spans="1:15" hidden="1">
      <c r="A856" t="s">
        <v>15</v>
      </c>
      <c r="B856" t="str">
        <f>"FES1162688645"</f>
        <v>FES1162688645</v>
      </c>
      <c r="C856" s="9">
        <v>43592</v>
      </c>
      <c r="D856">
        <v>1</v>
      </c>
      <c r="E856">
        <v>2170687420</v>
      </c>
      <c r="F856" t="s">
        <v>16</v>
      </c>
      <c r="G856" t="s">
        <v>17</v>
      </c>
      <c r="H856" t="s">
        <v>32</v>
      </c>
      <c r="I856" t="s">
        <v>33</v>
      </c>
      <c r="J856" t="s">
        <v>374</v>
      </c>
      <c r="K856" s="9">
        <v>43594</v>
      </c>
      <c r="L856" s="10">
        <v>0.40625</v>
      </c>
      <c r="M856" t="s">
        <v>1578</v>
      </c>
      <c r="N856" t="s">
        <v>1579</v>
      </c>
      <c r="O856" t="s">
        <v>22</v>
      </c>
    </row>
    <row r="857" spans="1:15" hidden="1">
      <c r="A857" t="s">
        <v>15</v>
      </c>
      <c r="B857" t="str">
        <f>"FES1162688382"</f>
        <v>FES1162688382</v>
      </c>
      <c r="C857" s="9">
        <v>43592</v>
      </c>
      <c r="D857">
        <v>1</v>
      </c>
      <c r="E857">
        <v>2170685799</v>
      </c>
      <c r="F857" t="s">
        <v>16</v>
      </c>
      <c r="G857" t="s">
        <v>17</v>
      </c>
      <c r="H857" t="s">
        <v>43</v>
      </c>
      <c r="I857" t="s">
        <v>44</v>
      </c>
      <c r="J857" t="s">
        <v>236</v>
      </c>
      <c r="K857" s="9">
        <v>43594</v>
      </c>
      <c r="L857" s="10">
        <v>0.41666666666666669</v>
      </c>
      <c r="M857" t="s">
        <v>1470</v>
      </c>
      <c r="N857" t="s">
        <v>1580</v>
      </c>
      <c r="O857" t="s">
        <v>22</v>
      </c>
    </row>
    <row r="858" spans="1:15" hidden="1">
      <c r="A858" t="s">
        <v>15</v>
      </c>
      <c r="B858" t="str">
        <f>"FES1162688598"</f>
        <v>FES1162688598</v>
      </c>
      <c r="C858" s="9">
        <v>43592</v>
      </c>
      <c r="D858">
        <v>1</v>
      </c>
      <c r="E858">
        <v>2170687353</v>
      </c>
      <c r="F858" t="s">
        <v>16</v>
      </c>
      <c r="G858" t="s">
        <v>17</v>
      </c>
      <c r="H858" t="s">
        <v>43</v>
      </c>
      <c r="I858" t="s">
        <v>44</v>
      </c>
      <c r="J858" t="s">
        <v>1581</v>
      </c>
      <c r="K858" s="9">
        <v>43594</v>
      </c>
      <c r="L858" s="10">
        <v>0.41666666666666669</v>
      </c>
      <c r="M858" t="s">
        <v>1582</v>
      </c>
      <c r="N858" t="s">
        <v>1583</v>
      </c>
      <c r="O858" t="s">
        <v>22</v>
      </c>
    </row>
    <row r="859" spans="1:15" hidden="1">
      <c r="A859" t="s">
        <v>15</v>
      </c>
      <c r="B859" t="str">
        <f>"FES1162688601"</f>
        <v>FES1162688601</v>
      </c>
      <c r="C859" s="9">
        <v>43592</v>
      </c>
      <c r="D859">
        <v>1</v>
      </c>
      <c r="E859">
        <v>2170687355</v>
      </c>
      <c r="F859" t="s">
        <v>16</v>
      </c>
      <c r="G859" t="s">
        <v>17</v>
      </c>
      <c r="H859" t="s">
        <v>43</v>
      </c>
      <c r="I859" t="s">
        <v>44</v>
      </c>
      <c r="J859" t="s">
        <v>336</v>
      </c>
      <c r="K859" s="9">
        <v>43594</v>
      </c>
      <c r="L859" s="10">
        <v>0.41666666666666669</v>
      </c>
      <c r="M859" t="s">
        <v>1502</v>
      </c>
      <c r="N859" t="s">
        <v>1584</v>
      </c>
      <c r="O859" t="s">
        <v>22</v>
      </c>
    </row>
    <row r="860" spans="1:15" hidden="1">
      <c r="A860" t="s">
        <v>15</v>
      </c>
      <c r="B860" t="str">
        <f>"FES1162688608"</f>
        <v>FES1162688608</v>
      </c>
      <c r="C860" s="9">
        <v>43592</v>
      </c>
      <c r="D860">
        <v>1</v>
      </c>
      <c r="E860">
        <v>2170687367</v>
      </c>
      <c r="F860" t="s">
        <v>16</v>
      </c>
      <c r="G860" t="s">
        <v>17</v>
      </c>
      <c r="H860" t="s">
        <v>141</v>
      </c>
      <c r="I860" t="s">
        <v>185</v>
      </c>
      <c r="J860" t="s">
        <v>1011</v>
      </c>
      <c r="K860" s="9">
        <v>43594</v>
      </c>
      <c r="L860" s="10">
        <v>0.34097222222222223</v>
      </c>
      <c r="M860" t="s">
        <v>1012</v>
      </c>
      <c r="N860" t="s">
        <v>1585</v>
      </c>
      <c r="O860" t="s">
        <v>22</v>
      </c>
    </row>
    <row r="861" spans="1:15" hidden="1">
      <c r="A861" t="s">
        <v>15</v>
      </c>
      <c r="B861" t="str">
        <f>"FES1162688596"</f>
        <v>FES1162688596</v>
      </c>
      <c r="C861" s="9">
        <v>43592</v>
      </c>
      <c r="D861">
        <v>1</v>
      </c>
      <c r="E861">
        <v>2170687530</v>
      </c>
      <c r="F861" t="s">
        <v>16</v>
      </c>
      <c r="G861" t="s">
        <v>17</v>
      </c>
      <c r="H861" t="s">
        <v>43</v>
      </c>
      <c r="I861" t="s">
        <v>44</v>
      </c>
      <c r="J861" t="s">
        <v>754</v>
      </c>
      <c r="K861" s="9">
        <v>43594</v>
      </c>
      <c r="L861" s="10">
        <v>0.41666666666666669</v>
      </c>
      <c r="M861" t="s">
        <v>1586</v>
      </c>
      <c r="N861" t="s">
        <v>1587</v>
      </c>
      <c r="O861" t="s">
        <v>22</v>
      </c>
    </row>
    <row r="862" spans="1:15" hidden="1">
      <c r="A862" t="s">
        <v>15</v>
      </c>
      <c r="B862" t="str">
        <f>"FES1162688623"</f>
        <v>FES1162688623</v>
      </c>
      <c r="C862" s="9">
        <v>43592</v>
      </c>
      <c r="D862">
        <v>1</v>
      </c>
      <c r="E862">
        <v>2170687390</v>
      </c>
      <c r="F862" t="s">
        <v>16</v>
      </c>
      <c r="G862" t="s">
        <v>17</v>
      </c>
      <c r="H862" t="s">
        <v>43</v>
      </c>
      <c r="I862" t="s">
        <v>44</v>
      </c>
      <c r="J862" t="s">
        <v>986</v>
      </c>
      <c r="K862" s="9">
        <v>43594</v>
      </c>
      <c r="L862" s="10">
        <v>0.41666666666666669</v>
      </c>
      <c r="M862" t="s">
        <v>1588</v>
      </c>
      <c r="N862" t="s">
        <v>1589</v>
      </c>
      <c r="O862" t="s">
        <v>22</v>
      </c>
    </row>
    <row r="863" spans="1:15" hidden="1">
      <c r="A863" t="s">
        <v>15</v>
      </c>
      <c r="B863" t="str">
        <f>"FES1162688612"</f>
        <v>FES1162688612</v>
      </c>
      <c r="C863" s="9">
        <v>43592</v>
      </c>
      <c r="D863">
        <v>1</v>
      </c>
      <c r="E863">
        <v>217067372</v>
      </c>
      <c r="F863" t="s">
        <v>16</v>
      </c>
      <c r="G863" t="s">
        <v>17</v>
      </c>
      <c r="H863" t="s">
        <v>43</v>
      </c>
      <c r="I863" t="s">
        <v>44</v>
      </c>
      <c r="J863" t="s">
        <v>128</v>
      </c>
      <c r="K863" s="9">
        <v>43594</v>
      </c>
      <c r="L863" s="10">
        <v>0.41666666666666669</v>
      </c>
      <c r="M863" t="s">
        <v>1401</v>
      </c>
      <c r="N863" t="s">
        <v>1590</v>
      </c>
      <c r="O863" t="s">
        <v>22</v>
      </c>
    </row>
    <row r="864" spans="1:15" hidden="1">
      <c r="A864" t="s">
        <v>15</v>
      </c>
      <c r="B864" t="str">
        <f>"FES1162688554"</f>
        <v>FES1162688554</v>
      </c>
      <c r="C864" s="9">
        <v>43592</v>
      </c>
      <c r="D864">
        <v>1</v>
      </c>
      <c r="E864">
        <v>2170687298</v>
      </c>
      <c r="F864" t="s">
        <v>16</v>
      </c>
      <c r="G864" t="s">
        <v>17</v>
      </c>
      <c r="H864" t="s">
        <v>43</v>
      </c>
      <c r="I864" t="s">
        <v>44</v>
      </c>
      <c r="J864" t="s">
        <v>1591</v>
      </c>
      <c r="K864" s="9">
        <v>43594</v>
      </c>
      <c r="L864" s="10">
        <v>0.41666666666666669</v>
      </c>
      <c r="M864" t="s">
        <v>1592</v>
      </c>
      <c r="N864" t="s">
        <v>1593</v>
      </c>
      <c r="O864" t="s">
        <v>22</v>
      </c>
    </row>
    <row r="865" spans="1:15" hidden="1">
      <c r="A865" t="s">
        <v>15</v>
      </c>
      <c r="B865" t="str">
        <f>"FES1162688566"</f>
        <v>FES1162688566</v>
      </c>
      <c r="C865" s="9">
        <v>43592</v>
      </c>
      <c r="D865">
        <v>1</v>
      </c>
      <c r="E865">
        <v>2170687297</v>
      </c>
      <c r="F865" t="s">
        <v>16</v>
      </c>
      <c r="G865" t="s">
        <v>17</v>
      </c>
      <c r="H865" t="s">
        <v>141</v>
      </c>
      <c r="I865" t="s">
        <v>142</v>
      </c>
      <c r="J865" t="s">
        <v>228</v>
      </c>
      <c r="K865" s="9">
        <v>43594</v>
      </c>
      <c r="L865" s="10">
        <v>0.39305555555555555</v>
      </c>
      <c r="M865" t="s">
        <v>229</v>
      </c>
      <c r="N865" t="s">
        <v>1594</v>
      </c>
      <c r="O865" t="s">
        <v>22</v>
      </c>
    </row>
    <row r="866" spans="1:15" hidden="1">
      <c r="A866" t="s">
        <v>15</v>
      </c>
      <c r="B866" t="str">
        <f>"FES1162688581"</f>
        <v>FES1162688581</v>
      </c>
      <c r="C866" s="9">
        <v>43592</v>
      </c>
      <c r="D866">
        <v>1</v>
      </c>
      <c r="E866">
        <v>2170687335</v>
      </c>
      <c r="F866" t="s">
        <v>16</v>
      </c>
      <c r="G866" t="s">
        <v>17</v>
      </c>
      <c r="H866" t="s">
        <v>32</v>
      </c>
      <c r="I866" t="s">
        <v>33</v>
      </c>
      <c r="J866" t="s">
        <v>357</v>
      </c>
      <c r="K866" s="9">
        <v>43594</v>
      </c>
      <c r="L866" s="10">
        <v>0.41666666666666669</v>
      </c>
      <c r="M866" t="s">
        <v>1595</v>
      </c>
      <c r="N866" t="s">
        <v>1596</v>
      </c>
      <c r="O866" t="s">
        <v>22</v>
      </c>
    </row>
    <row r="867" spans="1:15" hidden="1">
      <c r="A867" t="s">
        <v>15</v>
      </c>
      <c r="B867" t="str">
        <f>"FES1162688613"</f>
        <v>FES1162688613</v>
      </c>
      <c r="C867" s="9">
        <v>43592</v>
      </c>
      <c r="D867">
        <v>1</v>
      </c>
      <c r="E867">
        <v>2170687375</v>
      </c>
      <c r="F867" t="s">
        <v>16</v>
      </c>
      <c r="G867" t="s">
        <v>17</v>
      </c>
      <c r="H867" t="s">
        <v>141</v>
      </c>
      <c r="I867" t="s">
        <v>185</v>
      </c>
      <c r="J867" t="s">
        <v>1011</v>
      </c>
      <c r="K867" s="9">
        <v>43594</v>
      </c>
      <c r="L867" s="10">
        <v>0.34097222222222223</v>
      </c>
      <c r="M867" t="s">
        <v>1012</v>
      </c>
      <c r="N867" t="s">
        <v>1597</v>
      </c>
      <c r="O867" t="s">
        <v>22</v>
      </c>
    </row>
    <row r="868" spans="1:15" hidden="1">
      <c r="A868" t="s">
        <v>15</v>
      </c>
      <c r="B868" t="str">
        <f>"FES1162688360"</f>
        <v>FES1162688360</v>
      </c>
      <c r="C868" s="9">
        <v>43592</v>
      </c>
      <c r="D868">
        <v>1</v>
      </c>
      <c r="E868">
        <v>2170681730</v>
      </c>
      <c r="F868" t="s">
        <v>16</v>
      </c>
      <c r="G868" t="s">
        <v>17</v>
      </c>
      <c r="H868" t="s">
        <v>32</v>
      </c>
      <c r="I868" t="s">
        <v>33</v>
      </c>
      <c r="J868" t="s">
        <v>34</v>
      </c>
      <c r="K868" s="9">
        <v>43594</v>
      </c>
      <c r="L868" s="10">
        <v>0.33680555555555558</v>
      </c>
      <c r="M868" t="s">
        <v>35</v>
      </c>
      <c r="N868" t="s">
        <v>1598</v>
      </c>
      <c r="O868" t="s">
        <v>22</v>
      </c>
    </row>
    <row r="869" spans="1:15" hidden="1">
      <c r="A869" t="s">
        <v>15</v>
      </c>
      <c r="B869" t="str">
        <f>"FES1162688451"</f>
        <v>FES1162688451</v>
      </c>
      <c r="C869" s="9">
        <v>43592</v>
      </c>
      <c r="D869">
        <v>1</v>
      </c>
      <c r="E869">
        <v>2170687277</v>
      </c>
      <c r="F869" t="s">
        <v>16</v>
      </c>
      <c r="G869" t="s">
        <v>17</v>
      </c>
      <c r="H869" t="s">
        <v>32</v>
      </c>
      <c r="I869" t="s">
        <v>33</v>
      </c>
      <c r="J869" t="s">
        <v>357</v>
      </c>
      <c r="K869" s="9">
        <v>43594</v>
      </c>
      <c r="L869" s="10">
        <v>0.41666666666666669</v>
      </c>
      <c r="M869" t="s">
        <v>1595</v>
      </c>
      <c r="N869" t="s">
        <v>1599</v>
      </c>
      <c r="O869" t="s">
        <v>22</v>
      </c>
    </row>
    <row r="870" spans="1:15" hidden="1">
      <c r="A870" t="s">
        <v>15</v>
      </c>
      <c r="B870" t="str">
        <f>"FES1162688435"</f>
        <v>FES1162688435</v>
      </c>
      <c r="C870" s="9">
        <v>43592</v>
      </c>
      <c r="D870">
        <v>1</v>
      </c>
      <c r="E870">
        <v>2170687242</v>
      </c>
      <c r="F870" t="s">
        <v>16</v>
      </c>
      <c r="G870" t="s">
        <v>17</v>
      </c>
      <c r="H870" t="s">
        <v>32</v>
      </c>
      <c r="I870" t="s">
        <v>33</v>
      </c>
      <c r="J870" t="s">
        <v>1600</v>
      </c>
      <c r="K870" s="9">
        <v>43594</v>
      </c>
      <c r="L870" s="10">
        <v>0.34722222222222227</v>
      </c>
      <c r="M870" t="s">
        <v>1601</v>
      </c>
      <c r="N870" t="s">
        <v>1602</v>
      </c>
      <c r="O870" t="s">
        <v>22</v>
      </c>
    </row>
    <row r="871" spans="1:15" hidden="1">
      <c r="A871" t="s">
        <v>15</v>
      </c>
      <c r="B871" t="str">
        <f>"FES1162688555"</f>
        <v>FES1162688555</v>
      </c>
      <c r="C871" s="9">
        <v>43592</v>
      </c>
      <c r="D871">
        <v>1</v>
      </c>
      <c r="E871">
        <v>2170687301</v>
      </c>
      <c r="F871" t="s">
        <v>16</v>
      </c>
      <c r="G871" t="s">
        <v>17</v>
      </c>
      <c r="H871" t="s">
        <v>132</v>
      </c>
      <c r="I871" t="s">
        <v>133</v>
      </c>
      <c r="J871" t="s">
        <v>639</v>
      </c>
      <c r="K871" s="9">
        <v>43594</v>
      </c>
      <c r="L871" s="10">
        <v>0.375</v>
      </c>
      <c r="M871" t="s">
        <v>1603</v>
      </c>
      <c r="N871" t="s">
        <v>1604</v>
      </c>
      <c r="O871" t="s">
        <v>22</v>
      </c>
    </row>
    <row r="872" spans="1:15" hidden="1">
      <c r="A872" t="s">
        <v>15</v>
      </c>
      <c r="B872" t="str">
        <f>"FES1162688646"</f>
        <v>FES1162688646</v>
      </c>
      <c r="C872" s="9">
        <v>43592</v>
      </c>
      <c r="D872">
        <v>1</v>
      </c>
      <c r="E872">
        <v>2170687422</v>
      </c>
      <c r="F872" t="s">
        <v>16</v>
      </c>
      <c r="G872" t="s">
        <v>17</v>
      </c>
      <c r="H872" t="s">
        <v>141</v>
      </c>
      <c r="I872" t="s">
        <v>142</v>
      </c>
      <c r="J872" t="s">
        <v>1605</v>
      </c>
      <c r="K872" s="9">
        <v>43594</v>
      </c>
      <c r="L872" s="10">
        <v>0.36944444444444446</v>
      </c>
      <c r="M872" t="s">
        <v>1606</v>
      </c>
      <c r="N872" t="s">
        <v>1607</v>
      </c>
      <c r="O872" t="s">
        <v>22</v>
      </c>
    </row>
    <row r="873" spans="1:15">
      <c r="A873" s="6" t="s">
        <v>15</v>
      </c>
      <c r="B873" s="6" t="str">
        <f>"FES1162688652"</f>
        <v>FES1162688652</v>
      </c>
      <c r="C873" s="7">
        <v>43592</v>
      </c>
      <c r="D873" s="6">
        <v>1</v>
      </c>
      <c r="E873" s="6">
        <v>2170684727</v>
      </c>
      <c r="F873" s="6" t="s">
        <v>16</v>
      </c>
      <c r="G873" s="6" t="s">
        <v>17</v>
      </c>
      <c r="H873" s="6" t="s">
        <v>17</v>
      </c>
      <c r="I873" s="6" t="s">
        <v>84</v>
      </c>
      <c r="J873" s="6" t="s">
        <v>85</v>
      </c>
      <c r="K873" s="7">
        <v>43594</v>
      </c>
      <c r="L873" s="8">
        <v>0.53819444444444442</v>
      </c>
      <c r="M873" s="6" t="s">
        <v>1608</v>
      </c>
      <c r="N873" s="6" t="s">
        <v>21</v>
      </c>
      <c r="O873" s="6" t="s">
        <v>22</v>
      </c>
    </row>
    <row r="874" spans="1:15">
      <c r="A874" s="6" t="s">
        <v>15</v>
      </c>
      <c r="B874" s="6" t="str">
        <f>"FES1162688603"</f>
        <v>FES1162688603</v>
      </c>
      <c r="C874" s="7">
        <v>43592</v>
      </c>
      <c r="D874" s="6">
        <v>1</v>
      </c>
      <c r="E874" s="6">
        <v>2170687357</v>
      </c>
      <c r="F874" s="6" t="s">
        <v>16</v>
      </c>
      <c r="G874" s="6" t="s">
        <v>17</v>
      </c>
      <c r="H874" s="6" t="s">
        <v>17</v>
      </c>
      <c r="I874" s="6" t="s">
        <v>613</v>
      </c>
      <c r="J874" s="6" t="s">
        <v>706</v>
      </c>
      <c r="K874" s="7">
        <v>43594</v>
      </c>
      <c r="L874" s="8">
        <v>0.27499999999999997</v>
      </c>
      <c r="M874" s="6" t="s">
        <v>1609</v>
      </c>
      <c r="N874" s="6" t="s">
        <v>21</v>
      </c>
      <c r="O874" s="6" t="s">
        <v>22</v>
      </c>
    </row>
    <row r="875" spans="1:15" hidden="1">
      <c r="A875" t="s">
        <v>15</v>
      </c>
      <c r="B875" t="str">
        <f>"FES1162688635"</f>
        <v>FES1162688635</v>
      </c>
      <c r="C875" s="9">
        <v>43592</v>
      </c>
      <c r="D875">
        <v>1</v>
      </c>
      <c r="E875">
        <v>2170687406</v>
      </c>
      <c r="F875" t="s">
        <v>16</v>
      </c>
      <c r="G875" t="s">
        <v>17</v>
      </c>
      <c r="H875" t="s">
        <v>141</v>
      </c>
      <c r="I875" t="s">
        <v>142</v>
      </c>
      <c r="J875" t="s">
        <v>1610</v>
      </c>
      <c r="K875" s="9">
        <v>43594</v>
      </c>
      <c r="L875" s="10">
        <v>0.41111111111111115</v>
      </c>
      <c r="M875" t="s">
        <v>1611</v>
      </c>
      <c r="N875" t="s">
        <v>1612</v>
      </c>
      <c r="O875" t="s">
        <v>22</v>
      </c>
    </row>
    <row r="876" spans="1:15" hidden="1">
      <c r="A876" t="s">
        <v>15</v>
      </c>
      <c r="B876" t="str">
        <f>"FES1162688636"</f>
        <v>FES1162688636</v>
      </c>
      <c r="C876" s="9">
        <v>43592</v>
      </c>
      <c r="D876">
        <v>1</v>
      </c>
      <c r="E876">
        <v>2170687407</v>
      </c>
      <c r="F876" t="s">
        <v>16</v>
      </c>
      <c r="G876" t="s">
        <v>17</v>
      </c>
      <c r="H876" t="s">
        <v>43</v>
      </c>
      <c r="I876" t="s">
        <v>54</v>
      </c>
      <c r="J876" t="s">
        <v>216</v>
      </c>
      <c r="K876" s="9">
        <v>43594</v>
      </c>
      <c r="L876" s="10">
        <v>0.41666666666666669</v>
      </c>
      <c r="M876" t="s">
        <v>1443</v>
      </c>
      <c r="N876" t="s">
        <v>1613</v>
      </c>
      <c r="O876" t="s">
        <v>22</v>
      </c>
    </row>
    <row r="877" spans="1:15" hidden="1">
      <c r="A877" t="s">
        <v>15</v>
      </c>
      <c r="B877" t="str">
        <f>"FES1162688582"</f>
        <v>FES1162688582</v>
      </c>
      <c r="C877" s="9">
        <v>43592</v>
      </c>
      <c r="D877">
        <v>2</v>
      </c>
      <c r="E877">
        <v>2170685435</v>
      </c>
      <c r="F877" t="s">
        <v>58</v>
      </c>
      <c r="G877" t="s">
        <v>59</v>
      </c>
      <c r="H877" t="s">
        <v>59</v>
      </c>
      <c r="I877" t="s">
        <v>67</v>
      </c>
      <c r="J877" t="s">
        <v>1614</v>
      </c>
      <c r="K877" s="9">
        <v>43594</v>
      </c>
      <c r="L877" s="10">
        <v>0.4548611111111111</v>
      </c>
      <c r="M877" t="s">
        <v>1615</v>
      </c>
      <c r="N877" t="s">
        <v>1616</v>
      </c>
      <c r="O877" t="s">
        <v>22</v>
      </c>
    </row>
    <row r="878" spans="1:15" hidden="1">
      <c r="A878" t="s">
        <v>15</v>
      </c>
      <c r="B878" t="str">
        <f>"FES1162688551"</f>
        <v>FES1162688551</v>
      </c>
      <c r="C878" s="9">
        <v>43592</v>
      </c>
      <c r="D878">
        <v>1</v>
      </c>
      <c r="E878">
        <v>2170687293</v>
      </c>
      <c r="F878" t="s">
        <v>16</v>
      </c>
      <c r="G878" t="s">
        <v>17</v>
      </c>
      <c r="H878" t="s">
        <v>43</v>
      </c>
      <c r="I878" t="s">
        <v>44</v>
      </c>
      <c r="J878" t="s">
        <v>207</v>
      </c>
      <c r="K878" s="9">
        <v>43594</v>
      </c>
      <c r="L878" s="10">
        <v>0.41666666666666669</v>
      </c>
      <c r="M878" t="s">
        <v>208</v>
      </c>
      <c r="N878" t="s">
        <v>1617</v>
      </c>
      <c r="O878" t="s">
        <v>22</v>
      </c>
    </row>
    <row r="879" spans="1:15" hidden="1">
      <c r="A879" t="s">
        <v>15</v>
      </c>
      <c r="B879" t="str">
        <f>"FES1162688397"</f>
        <v>FES1162688397</v>
      </c>
      <c r="C879" s="9">
        <v>43592</v>
      </c>
      <c r="D879">
        <v>1</v>
      </c>
      <c r="E879">
        <v>217068986</v>
      </c>
      <c r="F879" t="s">
        <v>16</v>
      </c>
      <c r="G879" t="s">
        <v>17</v>
      </c>
      <c r="H879" t="s">
        <v>43</v>
      </c>
      <c r="I879" t="s">
        <v>44</v>
      </c>
      <c r="J879" t="s">
        <v>1618</v>
      </c>
      <c r="K879" s="9">
        <v>43594</v>
      </c>
      <c r="L879" s="10">
        <v>0.41666666666666669</v>
      </c>
      <c r="M879" t="s">
        <v>1619</v>
      </c>
      <c r="N879" t="s">
        <v>1620</v>
      </c>
      <c r="O879" t="s">
        <v>22</v>
      </c>
    </row>
    <row r="880" spans="1:15">
      <c r="A880" s="6" t="s">
        <v>15</v>
      </c>
      <c r="B880" s="6" t="str">
        <f>"FES1162688624"</f>
        <v>FES1162688624</v>
      </c>
      <c r="C880" s="7">
        <v>43592</v>
      </c>
      <c r="D880" s="6">
        <v>1</v>
      </c>
      <c r="E880" s="6">
        <v>2170687392</v>
      </c>
      <c r="F880" s="6" t="s">
        <v>16</v>
      </c>
      <c r="G880" s="6" t="s">
        <v>17</v>
      </c>
      <c r="H880" s="6" t="s">
        <v>17</v>
      </c>
      <c r="I880" s="6" t="s">
        <v>67</v>
      </c>
      <c r="J880" s="6" t="s">
        <v>1621</v>
      </c>
      <c r="K880" s="7">
        <v>43594</v>
      </c>
      <c r="L880" s="8">
        <v>0.35555555555555557</v>
      </c>
      <c r="M880" s="6" t="s">
        <v>1622</v>
      </c>
      <c r="N880" s="6" t="s">
        <v>21</v>
      </c>
      <c r="O880" s="6" t="s">
        <v>22</v>
      </c>
    </row>
    <row r="881" spans="1:15">
      <c r="A881" s="6" t="s">
        <v>15</v>
      </c>
      <c r="B881" s="6" t="str">
        <f>"FES1162688605"</f>
        <v>FES1162688605</v>
      </c>
      <c r="C881" s="7">
        <v>43592</v>
      </c>
      <c r="D881" s="6">
        <v>1</v>
      </c>
      <c r="E881" s="6">
        <v>2170687358</v>
      </c>
      <c r="F881" s="6" t="s">
        <v>16</v>
      </c>
      <c r="G881" s="6" t="s">
        <v>17</v>
      </c>
      <c r="H881" s="6" t="s">
        <v>17</v>
      </c>
      <c r="I881" s="6" t="s">
        <v>67</v>
      </c>
      <c r="J881" s="6" t="s">
        <v>1614</v>
      </c>
      <c r="K881" s="7">
        <v>43594</v>
      </c>
      <c r="L881" s="8">
        <v>0.4548611111111111</v>
      </c>
      <c r="M881" s="6" t="s">
        <v>1615</v>
      </c>
      <c r="N881" s="6" t="s">
        <v>21</v>
      </c>
      <c r="O881" s="6" t="s">
        <v>22</v>
      </c>
    </row>
    <row r="882" spans="1:15" hidden="1">
      <c r="A882" t="s">
        <v>15</v>
      </c>
      <c r="B882" t="str">
        <f>"FES1162688642"</f>
        <v>FES1162688642</v>
      </c>
      <c r="C882" s="9">
        <v>43592</v>
      </c>
      <c r="D882">
        <v>1</v>
      </c>
      <c r="E882">
        <v>2170687417</v>
      </c>
      <c r="F882" t="s">
        <v>16</v>
      </c>
      <c r="G882" t="s">
        <v>17</v>
      </c>
      <c r="H882" t="s">
        <v>32</v>
      </c>
      <c r="I882" t="s">
        <v>33</v>
      </c>
      <c r="J882" t="s">
        <v>360</v>
      </c>
      <c r="K882" s="9">
        <v>43594</v>
      </c>
      <c r="L882" s="10">
        <v>0.38541666666666669</v>
      </c>
      <c r="M882" t="s">
        <v>793</v>
      </c>
      <c r="N882" t="s">
        <v>1623</v>
      </c>
      <c r="O882" t="s">
        <v>22</v>
      </c>
    </row>
    <row r="883" spans="1:15">
      <c r="A883" s="6" t="s">
        <v>15</v>
      </c>
      <c r="B883" s="6" t="str">
        <f>"FES1162688632"</f>
        <v>FES1162688632</v>
      </c>
      <c r="C883" s="7">
        <v>43592</v>
      </c>
      <c r="D883" s="6">
        <v>1</v>
      </c>
      <c r="E883" s="6">
        <v>2170687046</v>
      </c>
      <c r="F883" s="6" t="s">
        <v>16</v>
      </c>
      <c r="G883" s="6" t="s">
        <v>17</v>
      </c>
      <c r="H883" s="6" t="s">
        <v>17</v>
      </c>
      <c r="I883" s="6" t="s">
        <v>23</v>
      </c>
      <c r="J883" s="6" t="s">
        <v>483</v>
      </c>
      <c r="K883" s="7">
        <v>43594</v>
      </c>
      <c r="L883" s="8">
        <v>0.35138888888888892</v>
      </c>
      <c r="M883" s="6" t="s">
        <v>1016</v>
      </c>
      <c r="N883" s="6" t="s">
        <v>21</v>
      </c>
      <c r="O883" s="6" t="s">
        <v>22</v>
      </c>
    </row>
    <row r="884" spans="1:15">
      <c r="A884" s="6" t="s">
        <v>15</v>
      </c>
      <c r="B884" s="6" t="str">
        <f>"FES1162688650"</f>
        <v>FES1162688650</v>
      </c>
      <c r="C884" s="7">
        <v>43592</v>
      </c>
      <c r="D884" s="6">
        <v>1</v>
      </c>
      <c r="E884" s="6">
        <v>2170687404</v>
      </c>
      <c r="F884" s="6" t="s">
        <v>16</v>
      </c>
      <c r="G884" s="6" t="s">
        <v>17</v>
      </c>
      <c r="H884" s="6" t="s">
        <v>17</v>
      </c>
      <c r="I884" s="6" t="s">
        <v>29</v>
      </c>
      <c r="J884" s="6" t="s">
        <v>963</v>
      </c>
      <c r="K884" s="7">
        <v>43594</v>
      </c>
      <c r="L884" s="8">
        <v>0.35416666666666669</v>
      </c>
      <c r="M884" s="6" t="s">
        <v>1624</v>
      </c>
      <c r="N884" s="6" t="s">
        <v>21</v>
      </c>
      <c r="O884" s="6" t="s">
        <v>22</v>
      </c>
    </row>
    <row r="885" spans="1:15">
      <c r="A885" s="6" t="s">
        <v>15</v>
      </c>
      <c r="B885" s="6" t="str">
        <f>"FES1162688400"</f>
        <v>FES1162688400</v>
      </c>
      <c r="C885" s="7">
        <v>43592</v>
      </c>
      <c r="D885" s="6">
        <v>1</v>
      </c>
      <c r="E885" s="6">
        <v>2170687026</v>
      </c>
      <c r="F885" s="6" t="s">
        <v>16</v>
      </c>
      <c r="G885" s="6" t="s">
        <v>17</v>
      </c>
      <c r="H885" s="6" t="s">
        <v>17</v>
      </c>
      <c r="I885" s="6" t="s">
        <v>414</v>
      </c>
      <c r="J885" s="6" t="s">
        <v>1386</v>
      </c>
      <c r="K885" s="7">
        <v>43594</v>
      </c>
      <c r="L885" s="8">
        <v>0.37638888888888888</v>
      </c>
      <c r="M885" s="6" t="s">
        <v>1387</v>
      </c>
      <c r="N885" s="6" t="s">
        <v>21</v>
      </c>
      <c r="O885" s="6" t="s">
        <v>22</v>
      </c>
    </row>
    <row r="886" spans="1:15" hidden="1">
      <c r="A886" t="s">
        <v>15</v>
      </c>
      <c r="B886" t="str">
        <f>"FES1162688388"</f>
        <v>FES1162688388</v>
      </c>
      <c r="C886" s="9">
        <v>43592</v>
      </c>
      <c r="D886">
        <v>1</v>
      </c>
      <c r="E886">
        <v>2170686115</v>
      </c>
      <c r="F886" t="s">
        <v>16</v>
      </c>
      <c r="G886" t="s">
        <v>17</v>
      </c>
      <c r="H886" t="s">
        <v>290</v>
      </c>
      <c r="I886" t="s">
        <v>601</v>
      </c>
      <c r="J886" t="s">
        <v>602</v>
      </c>
      <c r="K886" s="9">
        <v>43594</v>
      </c>
      <c r="L886" s="10">
        <v>0.59027777777777779</v>
      </c>
      <c r="M886" t="s">
        <v>77</v>
      </c>
      <c r="N886" t="s">
        <v>1625</v>
      </c>
      <c r="O886" t="s">
        <v>22</v>
      </c>
    </row>
    <row r="887" spans="1:15">
      <c r="A887" s="6" t="s">
        <v>15</v>
      </c>
      <c r="B887" s="6" t="str">
        <f>"FES1162688389"</f>
        <v>FES1162688389</v>
      </c>
      <c r="C887" s="7">
        <v>43592</v>
      </c>
      <c r="D887" s="6">
        <v>1</v>
      </c>
      <c r="E887" s="6">
        <v>2170686209</v>
      </c>
      <c r="F887" s="6" t="s">
        <v>16</v>
      </c>
      <c r="G887" s="6" t="s">
        <v>17</v>
      </c>
      <c r="H887" s="6" t="s">
        <v>17</v>
      </c>
      <c r="I887" s="6" t="s">
        <v>64</v>
      </c>
      <c r="J887" s="6" t="s">
        <v>1626</v>
      </c>
      <c r="K887" s="7">
        <v>43594</v>
      </c>
      <c r="L887" s="8">
        <v>0.3840277777777778</v>
      </c>
      <c r="M887" s="6" t="s">
        <v>1609</v>
      </c>
      <c r="N887" s="6" t="s">
        <v>21</v>
      </c>
      <c r="O887" s="6" t="s">
        <v>22</v>
      </c>
    </row>
    <row r="888" spans="1:15" hidden="1">
      <c r="A888" t="s">
        <v>15</v>
      </c>
      <c r="B888" t="str">
        <f>"FES1162688368"</f>
        <v>FES1162688368</v>
      </c>
      <c r="C888" s="9">
        <v>43592</v>
      </c>
      <c r="D888">
        <v>1</v>
      </c>
      <c r="E888">
        <v>2170683750</v>
      </c>
      <c r="F888" t="s">
        <v>16</v>
      </c>
      <c r="G888" t="s">
        <v>17</v>
      </c>
      <c r="H888" t="s">
        <v>440</v>
      </c>
      <c r="I888" t="s">
        <v>441</v>
      </c>
      <c r="J888" t="s">
        <v>317</v>
      </c>
      <c r="K888" s="9">
        <v>43594</v>
      </c>
      <c r="L888" s="10">
        <v>0.53749999999999998</v>
      </c>
      <c r="M888" t="s">
        <v>444</v>
      </c>
      <c r="N888" t="s">
        <v>1627</v>
      </c>
      <c r="O888" t="s">
        <v>22</v>
      </c>
    </row>
    <row r="889" spans="1:15">
      <c r="A889" s="6" t="s">
        <v>15</v>
      </c>
      <c r="B889" s="6" t="str">
        <f>"FES1162688671"</f>
        <v>FES1162688671</v>
      </c>
      <c r="C889" s="7">
        <v>43592</v>
      </c>
      <c r="D889" s="6">
        <v>1</v>
      </c>
      <c r="E889" s="6">
        <v>217067458</v>
      </c>
      <c r="F889" s="6" t="s">
        <v>16</v>
      </c>
      <c r="G889" s="6" t="s">
        <v>17</v>
      </c>
      <c r="H889" s="6" t="s">
        <v>17</v>
      </c>
      <c r="I889" s="6" t="s">
        <v>64</v>
      </c>
      <c r="J889" s="6" t="s">
        <v>1628</v>
      </c>
      <c r="K889" s="7">
        <v>43594</v>
      </c>
      <c r="L889" s="8">
        <v>0.3888888888888889</v>
      </c>
      <c r="M889" s="6" t="s">
        <v>1629</v>
      </c>
      <c r="N889" s="6" t="s">
        <v>21</v>
      </c>
      <c r="O889" s="6" t="s">
        <v>22</v>
      </c>
    </row>
    <row r="890" spans="1:15" hidden="1">
      <c r="A890" t="s">
        <v>15</v>
      </c>
      <c r="B890" t="str">
        <f>"FES1162688357"</f>
        <v>FES1162688357</v>
      </c>
      <c r="C890" s="9">
        <v>43592</v>
      </c>
      <c r="D890">
        <v>1</v>
      </c>
      <c r="E890">
        <v>21706877540</v>
      </c>
      <c r="F890" t="s">
        <v>16</v>
      </c>
      <c r="G890" t="s">
        <v>17</v>
      </c>
      <c r="H890" t="s">
        <v>290</v>
      </c>
      <c r="I890" t="s">
        <v>291</v>
      </c>
      <c r="J890" t="s">
        <v>1630</v>
      </c>
      <c r="K890" s="9">
        <v>43594</v>
      </c>
      <c r="L890" s="10">
        <v>0.375</v>
      </c>
      <c r="M890" t="s">
        <v>1631</v>
      </c>
      <c r="N890" t="s">
        <v>1632</v>
      </c>
      <c r="O890" t="s">
        <v>22</v>
      </c>
    </row>
    <row r="891" spans="1:15" hidden="1">
      <c r="A891" t="s">
        <v>15</v>
      </c>
      <c r="B891" t="str">
        <f>"FES1162688392"</f>
        <v>FES1162688392</v>
      </c>
      <c r="C891" s="9">
        <v>43592</v>
      </c>
      <c r="D891">
        <v>1</v>
      </c>
      <c r="E891">
        <v>2170686522</v>
      </c>
      <c r="F891" t="s">
        <v>16</v>
      </c>
      <c r="G891" t="s">
        <v>17</v>
      </c>
      <c r="H891" t="s">
        <v>290</v>
      </c>
      <c r="I891" t="s">
        <v>316</v>
      </c>
      <c r="J891" t="s">
        <v>1633</v>
      </c>
      <c r="K891" s="9">
        <v>43594</v>
      </c>
      <c r="L891" s="10">
        <v>0.45833333333333331</v>
      </c>
      <c r="M891" t="s">
        <v>481</v>
      </c>
      <c r="N891" t="s">
        <v>1634</v>
      </c>
      <c r="O891" t="s">
        <v>22</v>
      </c>
    </row>
    <row r="892" spans="1:15" hidden="1">
      <c r="A892" t="s">
        <v>15</v>
      </c>
      <c r="B892" t="str">
        <f>"FES1162688665"</f>
        <v>FES1162688665</v>
      </c>
      <c r="C892" s="9">
        <v>43592</v>
      </c>
      <c r="D892">
        <v>1</v>
      </c>
      <c r="E892">
        <v>2170687448</v>
      </c>
      <c r="F892" t="s">
        <v>16</v>
      </c>
      <c r="G892" t="s">
        <v>17</v>
      </c>
      <c r="H892" t="s">
        <v>132</v>
      </c>
      <c r="I892" t="s">
        <v>838</v>
      </c>
      <c r="J892" t="s">
        <v>839</v>
      </c>
      <c r="K892" s="9">
        <v>43594</v>
      </c>
      <c r="L892" s="10">
        <v>0.46597222222222223</v>
      </c>
      <c r="M892" t="s">
        <v>839</v>
      </c>
      <c r="N892" t="s">
        <v>1635</v>
      </c>
      <c r="O892" t="s">
        <v>22</v>
      </c>
    </row>
    <row r="893" spans="1:15">
      <c r="A893" s="6" t="s">
        <v>15</v>
      </c>
      <c r="B893" s="6" t="str">
        <f>"FES1162688633"</f>
        <v>FES1162688633</v>
      </c>
      <c r="C893" s="7">
        <v>43592</v>
      </c>
      <c r="D893" s="6">
        <v>1</v>
      </c>
      <c r="E893" s="6">
        <v>2170687400</v>
      </c>
      <c r="F893" s="6" t="s">
        <v>16</v>
      </c>
      <c r="G893" s="6" t="s">
        <v>17</v>
      </c>
      <c r="H893" s="6" t="s">
        <v>17</v>
      </c>
      <c r="I893" s="6" t="s">
        <v>414</v>
      </c>
      <c r="J893" s="6" t="s">
        <v>1636</v>
      </c>
      <c r="K893" s="7">
        <v>43595</v>
      </c>
      <c r="L893" s="8">
        <v>0.6791666666666667</v>
      </c>
      <c r="M893" s="6" t="s">
        <v>1637</v>
      </c>
      <c r="N893" s="6" t="s">
        <v>21</v>
      </c>
      <c r="O893" s="6" t="s">
        <v>22</v>
      </c>
    </row>
    <row r="894" spans="1:15" hidden="1">
      <c r="A894" t="s">
        <v>15</v>
      </c>
      <c r="B894" t="str">
        <f>"FES1162688661"</f>
        <v>FES1162688661</v>
      </c>
      <c r="C894" s="9">
        <v>43592</v>
      </c>
      <c r="D894">
        <v>1</v>
      </c>
      <c r="E894">
        <v>2170687442</v>
      </c>
      <c r="F894" t="s">
        <v>16</v>
      </c>
      <c r="G894" t="s">
        <v>17</v>
      </c>
      <c r="H894" t="s">
        <v>141</v>
      </c>
      <c r="I894" t="s">
        <v>185</v>
      </c>
      <c r="J894" t="s">
        <v>186</v>
      </c>
      <c r="K894" s="9">
        <v>43594</v>
      </c>
      <c r="L894" s="10">
        <v>0.41319444444444442</v>
      </c>
      <c r="M894" t="s">
        <v>1305</v>
      </c>
      <c r="N894" t="s">
        <v>1638</v>
      </c>
      <c r="O894" t="s">
        <v>22</v>
      </c>
    </row>
    <row r="895" spans="1:15" hidden="1">
      <c r="A895" t="s">
        <v>15</v>
      </c>
      <c r="B895" t="str">
        <f>"FES1162688672"</f>
        <v>FES1162688672</v>
      </c>
      <c r="C895" s="9">
        <v>43592</v>
      </c>
      <c r="D895">
        <v>1</v>
      </c>
      <c r="E895">
        <v>2170687459</v>
      </c>
      <c r="F895" t="s">
        <v>16</v>
      </c>
      <c r="G895" t="s">
        <v>17</v>
      </c>
      <c r="H895" t="s">
        <v>141</v>
      </c>
      <c r="I895" t="s">
        <v>185</v>
      </c>
      <c r="J895" t="s">
        <v>1011</v>
      </c>
      <c r="K895" s="9">
        <v>43594</v>
      </c>
      <c r="L895" s="10">
        <v>0.34097222222222223</v>
      </c>
      <c r="M895" t="s">
        <v>1012</v>
      </c>
      <c r="N895" t="s">
        <v>1639</v>
      </c>
      <c r="O895" t="s">
        <v>22</v>
      </c>
    </row>
    <row r="896" spans="1:15">
      <c r="A896" s="6" t="s">
        <v>15</v>
      </c>
      <c r="B896" s="6" t="str">
        <f>"FES1162688620"</f>
        <v>FES1162688620</v>
      </c>
      <c r="C896" s="7">
        <v>43592</v>
      </c>
      <c r="D896" s="6">
        <v>1</v>
      </c>
      <c r="E896" s="6">
        <v>217067386</v>
      </c>
      <c r="F896" s="6" t="s">
        <v>16</v>
      </c>
      <c r="G896" s="6" t="s">
        <v>17</v>
      </c>
      <c r="H896" s="6" t="s">
        <v>17</v>
      </c>
      <c r="I896" s="6" t="s">
        <v>67</v>
      </c>
      <c r="J896" s="6" t="s">
        <v>1640</v>
      </c>
      <c r="K896" s="7">
        <v>43594</v>
      </c>
      <c r="L896" s="8">
        <v>0.51666666666666672</v>
      </c>
      <c r="M896" s="6" t="s">
        <v>1641</v>
      </c>
      <c r="N896" s="6" t="s">
        <v>21</v>
      </c>
      <c r="O896" s="6" t="s">
        <v>22</v>
      </c>
    </row>
    <row r="897" spans="1:15">
      <c r="A897" s="6" t="s">
        <v>15</v>
      </c>
      <c r="B897" s="6" t="str">
        <f>"FES1162688637"</f>
        <v>FES1162688637</v>
      </c>
      <c r="C897" s="7">
        <v>43592</v>
      </c>
      <c r="D897" s="6">
        <v>1</v>
      </c>
      <c r="E897" s="6">
        <v>2170687408</v>
      </c>
      <c r="F897" s="6" t="s">
        <v>16</v>
      </c>
      <c r="G897" s="6" t="s">
        <v>17</v>
      </c>
      <c r="H897" s="6" t="s">
        <v>17</v>
      </c>
      <c r="I897" s="6" t="s">
        <v>26</v>
      </c>
      <c r="J897" s="6" t="s">
        <v>1642</v>
      </c>
      <c r="K897" s="7">
        <v>43594</v>
      </c>
      <c r="L897" s="8">
        <v>0.40625</v>
      </c>
      <c r="M897" s="6" t="s">
        <v>1643</v>
      </c>
      <c r="N897" s="6" t="s">
        <v>21</v>
      </c>
      <c r="O897" s="6" t="s">
        <v>22</v>
      </c>
    </row>
    <row r="898" spans="1:15">
      <c r="A898" s="6" t="s">
        <v>15</v>
      </c>
      <c r="B898" s="6" t="str">
        <f>"FES1162688630"</f>
        <v>FES1162688630</v>
      </c>
      <c r="C898" s="7">
        <v>43592</v>
      </c>
      <c r="D898" s="6">
        <v>1</v>
      </c>
      <c r="E898" s="6">
        <v>2170686534</v>
      </c>
      <c r="F898" s="6" t="s">
        <v>16</v>
      </c>
      <c r="G898" s="6" t="s">
        <v>17</v>
      </c>
      <c r="H898" s="6" t="s">
        <v>17</v>
      </c>
      <c r="I898" s="6" t="s">
        <v>64</v>
      </c>
      <c r="J898" s="6" t="s">
        <v>116</v>
      </c>
      <c r="K898" s="7">
        <v>43594</v>
      </c>
      <c r="L898" s="8">
        <v>0.53055555555555556</v>
      </c>
      <c r="M898" s="6" t="s">
        <v>1363</v>
      </c>
      <c r="N898" s="6" t="s">
        <v>21</v>
      </c>
      <c r="O898" s="6" t="s">
        <v>22</v>
      </c>
    </row>
    <row r="899" spans="1:15" ht="15.75" thickBot="1">
      <c r="A899" s="11" t="s">
        <v>15</v>
      </c>
      <c r="B899" s="11" t="str">
        <f>"FES1162688615"</f>
        <v>FES1162688615</v>
      </c>
      <c r="C899" s="12">
        <v>43592</v>
      </c>
      <c r="D899" s="11">
        <v>1</v>
      </c>
      <c r="E899" s="11">
        <v>2170687340</v>
      </c>
      <c r="F899" s="11" t="s">
        <v>16</v>
      </c>
      <c r="G899" s="11" t="s">
        <v>17</v>
      </c>
      <c r="H899" s="11" t="s">
        <v>17</v>
      </c>
      <c r="I899" s="11" t="s">
        <v>23</v>
      </c>
      <c r="J899" s="11" t="s">
        <v>483</v>
      </c>
      <c r="K899" s="12">
        <v>43594</v>
      </c>
      <c r="L899" s="13">
        <v>0.35138888888888892</v>
      </c>
      <c r="M899" s="11" t="s">
        <v>1016</v>
      </c>
      <c r="N899" s="11" t="s">
        <v>21</v>
      </c>
      <c r="O899" s="11" t="s">
        <v>22</v>
      </c>
    </row>
    <row r="900" spans="1:15" hidden="1">
      <c r="A900" t="s">
        <v>15</v>
      </c>
      <c r="B900" t="str">
        <f>"FES1162688654"</f>
        <v>FES1162688654</v>
      </c>
      <c r="C900" s="9">
        <v>43592</v>
      </c>
      <c r="D900">
        <v>1</v>
      </c>
      <c r="E900">
        <v>217068735</v>
      </c>
      <c r="F900" t="s">
        <v>16</v>
      </c>
      <c r="G900" t="s">
        <v>17</v>
      </c>
      <c r="H900" t="s">
        <v>32</v>
      </c>
      <c r="I900" t="s">
        <v>33</v>
      </c>
      <c r="J900" t="s">
        <v>357</v>
      </c>
      <c r="K900" s="9">
        <v>43594</v>
      </c>
      <c r="L900" s="10">
        <v>0.41666666666666669</v>
      </c>
      <c r="M900" t="s">
        <v>1595</v>
      </c>
      <c r="N900" t="s">
        <v>1644</v>
      </c>
      <c r="O900" t="s">
        <v>22</v>
      </c>
    </row>
    <row r="901" spans="1:15" hidden="1">
      <c r="A901" t="s">
        <v>15</v>
      </c>
      <c r="B901" t="str">
        <f>"FES1162688586"</f>
        <v>FES1162688586</v>
      </c>
      <c r="C901" s="9">
        <v>43592</v>
      </c>
      <c r="D901">
        <v>1</v>
      </c>
      <c r="E901">
        <v>2170686862</v>
      </c>
      <c r="F901" t="s">
        <v>16</v>
      </c>
      <c r="G901" t="s">
        <v>17</v>
      </c>
      <c r="H901" t="s">
        <v>43</v>
      </c>
      <c r="I901" t="s">
        <v>44</v>
      </c>
      <c r="J901" t="s">
        <v>1645</v>
      </c>
      <c r="K901" s="9">
        <v>43594</v>
      </c>
      <c r="L901" s="10">
        <v>0.39097222222222222</v>
      </c>
      <c r="M901" t="s">
        <v>1646</v>
      </c>
      <c r="N901" t="s">
        <v>1647</v>
      </c>
      <c r="O901" t="s">
        <v>22</v>
      </c>
    </row>
    <row r="902" spans="1:15" hidden="1">
      <c r="A902" t="s">
        <v>15</v>
      </c>
      <c r="B902" t="str">
        <f>"FES1162688655"</f>
        <v>FES1162688655</v>
      </c>
      <c r="C902" s="9">
        <v>43592</v>
      </c>
      <c r="D902">
        <v>1</v>
      </c>
      <c r="E902">
        <v>2170687439</v>
      </c>
      <c r="F902" t="s">
        <v>16</v>
      </c>
      <c r="G902" t="s">
        <v>17</v>
      </c>
      <c r="H902" t="s">
        <v>37</v>
      </c>
      <c r="I902" t="s">
        <v>38</v>
      </c>
      <c r="J902" t="s">
        <v>535</v>
      </c>
      <c r="K902" s="9">
        <v>43594</v>
      </c>
      <c r="L902" s="10">
        <v>0.37152777777777773</v>
      </c>
      <c r="M902" t="s">
        <v>1648</v>
      </c>
      <c r="N902" t="s">
        <v>1649</v>
      </c>
      <c r="O902" t="s">
        <v>22</v>
      </c>
    </row>
    <row r="903" spans="1:15" hidden="1">
      <c r="A903" t="s">
        <v>15</v>
      </c>
      <c r="B903" t="str">
        <f>"FES1162688572"</f>
        <v>FES1162688572</v>
      </c>
      <c r="C903" s="9">
        <v>43592</v>
      </c>
      <c r="D903">
        <v>1</v>
      </c>
      <c r="E903">
        <v>2170687832</v>
      </c>
      <c r="F903" t="s">
        <v>16</v>
      </c>
      <c r="G903" t="s">
        <v>17</v>
      </c>
      <c r="H903" t="s">
        <v>43</v>
      </c>
      <c r="I903" t="s">
        <v>44</v>
      </c>
      <c r="J903" t="s">
        <v>48</v>
      </c>
      <c r="K903" s="9">
        <v>43594</v>
      </c>
      <c r="L903" s="10">
        <v>0.32222222222222224</v>
      </c>
      <c r="M903" t="s">
        <v>1650</v>
      </c>
      <c r="N903" t="s">
        <v>1651</v>
      </c>
      <c r="O903" t="s">
        <v>22</v>
      </c>
    </row>
    <row r="904" spans="1:15" hidden="1">
      <c r="A904" t="s">
        <v>15</v>
      </c>
      <c r="B904" t="str">
        <f>"FES1162688639"</f>
        <v>FES1162688639</v>
      </c>
      <c r="C904" s="9">
        <v>43592</v>
      </c>
      <c r="D904">
        <v>1</v>
      </c>
      <c r="E904">
        <v>2170687414</v>
      </c>
      <c r="F904" t="s">
        <v>16</v>
      </c>
      <c r="G904" t="s">
        <v>17</v>
      </c>
      <c r="H904" t="s">
        <v>141</v>
      </c>
      <c r="I904" t="s">
        <v>142</v>
      </c>
      <c r="J904" t="s">
        <v>1652</v>
      </c>
      <c r="K904" s="9">
        <v>43594</v>
      </c>
      <c r="L904" s="10">
        <v>0.39861111111111108</v>
      </c>
      <c r="M904" t="s">
        <v>1653</v>
      </c>
      <c r="N904" t="s">
        <v>1654</v>
      </c>
      <c r="O904" t="s">
        <v>22</v>
      </c>
    </row>
    <row r="905" spans="1:15" hidden="1">
      <c r="A905" t="s">
        <v>15</v>
      </c>
      <c r="B905" t="str">
        <f>"FES1162688553"</f>
        <v>FES1162688553</v>
      </c>
      <c r="C905" s="9">
        <v>43592</v>
      </c>
      <c r="D905">
        <v>1</v>
      </c>
      <c r="E905">
        <v>2170687296</v>
      </c>
      <c r="F905" t="s">
        <v>16</v>
      </c>
      <c r="G905" t="s">
        <v>17</v>
      </c>
      <c r="H905" t="s">
        <v>43</v>
      </c>
      <c r="I905" t="s">
        <v>44</v>
      </c>
      <c r="J905" t="s">
        <v>1074</v>
      </c>
      <c r="K905" s="9">
        <v>43594</v>
      </c>
      <c r="L905" s="10">
        <v>0.41666666666666669</v>
      </c>
      <c r="M905" t="s">
        <v>1655</v>
      </c>
      <c r="N905" t="s">
        <v>1656</v>
      </c>
      <c r="O905" t="s">
        <v>22</v>
      </c>
    </row>
    <row r="906" spans="1:15" hidden="1">
      <c r="A906" t="s">
        <v>15</v>
      </c>
      <c r="B906" t="str">
        <f>"FES1162688418"</f>
        <v>FES1162688418</v>
      </c>
      <c r="C906" s="9">
        <v>43592</v>
      </c>
      <c r="D906">
        <v>1</v>
      </c>
      <c r="E906">
        <v>2170687203</v>
      </c>
      <c r="F906" t="s">
        <v>16</v>
      </c>
      <c r="G906" t="s">
        <v>17</v>
      </c>
      <c r="H906" t="s">
        <v>32</v>
      </c>
      <c r="I906" t="s">
        <v>33</v>
      </c>
      <c r="J906" t="s">
        <v>1657</v>
      </c>
      <c r="K906" s="9">
        <v>43594</v>
      </c>
      <c r="L906" s="10">
        <v>0.39999999999999997</v>
      </c>
      <c r="M906" t="s">
        <v>1658</v>
      </c>
      <c r="N906" t="s">
        <v>1659</v>
      </c>
      <c r="O906" t="s">
        <v>22</v>
      </c>
    </row>
    <row r="907" spans="1:15" hidden="1">
      <c r="A907" t="s">
        <v>15</v>
      </c>
      <c r="B907" t="str">
        <f>"FES1162688641"</f>
        <v>FES1162688641</v>
      </c>
      <c r="C907" s="9">
        <v>43592</v>
      </c>
      <c r="D907">
        <v>1</v>
      </c>
      <c r="E907">
        <v>2170687416</v>
      </c>
      <c r="F907" t="s">
        <v>16</v>
      </c>
      <c r="G907" t="s">
        <v>17</v>
      </c>
      <c r="H907" t="s">
        <v>32</v>
      </c>
      <c r="I907" t="s">
        <v>33</v>
      </c>
      <c r="J907" t="s">
        <v>790</v>
      </c>
      <c r="K907" s="9">
        <v>43594</v>
      </c>
      <c r="L907" s="10">
        <v>0.38611111111111113</v>
      </c>
      <c r="M907" t="s">
        <v>791</v>
      </c>
      <c r="N907" t="s">
        <v>1660</v>
      </c>
      <c r="O907" t="s">
        <v>22</v>
      </c>
    </row>
    <row r="908" spans="1:15" hidden="1">
      <c r="A908" t="s">
        <v>15</v>
      </c>
      <c r="B908" t="str">
        <f>"FES1162688366"</f>
        <v>FES1162688366</v>
      </c>
      <c r="C908" s="9">
        <v>43592</v>
      </c>
      <c r="D908">
        <v>1</v>
      </c>
      <c r="E908">
        <v>2170683745</v>
      </c>
      <c r="F908" t="s">
        <v>16</v>
      </c>
      <c r="G908" t="s">
        <v>17</v>
      </c>
      <c r="H908" t="s">
        <v>290</v>
      </c>
      <c r="I908" t="s">
        <v>316</v>
      </c>
      <c r="J908" t="s">
        <v>317</v>
      </c>
      <c r="K908" s="9">
        <v>43594</v>
      </c>
      <c r="L908" s="10">
        <v>0.5625</v>
      </c>
      <c r="M908" t="s">
        <v>1574</v>
      </c>
      <c r="N908" t="s">
        <v>1661</v>
      </c>
      <c r="O908" t="s">
        <v>22</v>
      </c>
    </row>
    <row r="909" spans="1:15" hidden="1">
      <c r="A909" t="s">
        <v>15</v>
      </c>
      <c r="B909" t="str">
        <f>"FES1162688412"</f>
        <v>FES1162688412</v>
      </c>
      <c r="C909" s="9">
        <v>43592</v>
      </c>
      <c r="D909">
        <v>1</v>
      </c>
      <c r="E909">
        <v>2170687123</v>
      </c>
      <c r="F909" t="s">
        <v>16</v>
      </c>
      <c r="G909" t="s">
        <v>17</v>
      </c>
      <c r="H909" t="s">
        <v>290</v>
      </c>
      <c r="I909" t="s">
        <v>309</v>
      </c>
      <c r="J909" t="s">
        <v>1662</v>
      </c>
      <c r="K909" s="9">
        <v>43595</v>
      </c>
      <c r="L909" s="10">
        <v>0.43472222222222223</v>
      </c>
      <c r="M909" t="s">
        <v>1663</v>
      </c>
      <c r="N909" t="s">
        <v>1664</v>
      </c>
      <c r="O909" t="s">
        <v>22</v>
      </c>
    </row>
    <row r="910" spans="1:15" hidden="1">
      <c r="A910" t="s">
        <v>15</v>
      </c>
      <c r="B910" t="str">
        <f>"FES1162688675"</f>
        <v>FES1162688675</v>
      </c>
      <c r="C910" s="9">
        <v>43592</v>
      </c>
      <c r="D910">
        <v>1</v>
      </c>
      <c r="E910">
        <v>2170687462</v>
      </c>
      <c r="F910" t="s">
        <v>1173</v>
      </c>
      <c r="G910" t="s">
        <v>17</v>
      </c>
      <c r="H910" t="s">
        <v>141</v>
      </c>
      <c r="I910" t="s">
        <v>185</v>
      </c>
      <c r="J910" t="s">
        <v>353</v>
      </c>
      <c r="K910" s="9">
        <v>43592</v>
      </c>
      <c r="L910" s="10">
        <v>0.97916666666666663</v>
      </c>
      <c r="M910" t="s">
        <v>1665</v>
      </c>
      <c r="N910" t="s">
        <v>1666</v>
      </c>
      <c r="O910" t="s">
        <v>1177</v>
      </c>
    </row>
    <row r="911" spans="1:15" hidden="1">
      <c r="A911" t="s">
        <v>15</v>
      </c>
      <c r="B911" t="str">
        <f>"FES1162688421"</f>
        <v>FES1162688421</v>
      </c>
      <c r="C911" s="9">
        <v>43592</v>
      </c>
      <c r="D911">
        <v>1</v>
      </c>
      <c r="E911">
        <v>2170687216</v>
      </c>
      <c r="F911" t="s">
        <v>16</v>
      </c>
      <c r="G911" t="s">
        <v>17</v>
      </c>
      <c r="H911" t="s">
        <v>290</v>
      </c>
      <c r="I911" t="s">
        <v>291</v>
      </c>
      <c r="J911" t="s">
        <v>1187</v>
      </c>
      <c r="K911" s="9">
        <v>43594</v>
      </c>
      <c r="L911" s="10">
        <v>0.4236111111111111</v>
      </c>
      <c r="M911" t="s">
        <v>1188</v>
      </c>
      <c r="N911" t="s">
        <v>1667</v>
      </c>
      <c r="O911" t="s">
        <v>22</v>
      </c>
    </row>
    <row r="912" spans="1:15" hidden="1">
      <c r="A912" t="s">
        <v>15</v>
      </c>
      <c r="B912" t="str">
        <f>"FES1162688250"</f>
        <v>FES1162688250</v>
      </c>
      <c r="C912" s="9">
        <v>43592</v>
      </c>
      <c r="D912">
        <v>1</v>
      </c>
      <c r="E912">
        <v>2170687076</v>
      </c>
      <c r="F912" t="s">
        <v>16</v>
      </c>
      <c r="G912" t="s">
        <v>17</v>
      </c>
      <c r="H912" t="s">
        <v>290</v>
      </c>
      <c r="I912" t="s">
        <v>291</v>
      </c>
      <c r="J912" t="s">
        <v>1668</v>
      </c>
      <c r="K912" s="9">
        <v>43594</v>
      </c>
      <c r="L912" s="10">
        <v>0.40625</v>
      </c>
      <c r="M912" t="s">
        <v>1669</v>
      </c>
      <c r="N912" t="s">
        <v>1670</v>
      </c>
      <c r="O912" t="s">
        <v>22</v>
      </c>
    </row>
    <row r="913" spans="1:15" hidden="1">
      <c r="A913" t="s">
        <v>15</v>
      </c>
      <c r="B913" t="str">
        <f>"FES1162688169"</f>
        <v>FES1162688169</v>
      </c>
      <c r="C913" s="9">
        <v>43592</v>
      </c>
      <c r="D913">
        <v>1</v>
      </c>
      <c r="E913">
        <v>2170687005</v>
      </c>
      <c r="F913" t="s">
        <v>16</v>
      </c>
      <c r="G913" t="s">
        <v>17</v>
      </c>
      <c r="H913" t="s">
        <v>290</v>
      </c>
      <c r="I913" t="s">
        <v>291</v>
      </c>
      <c r="J913" t="s">
        <v>966</v>
      </c>
      <c r="K913" s="9">
        <v>43594</v>
      </c>
      <c r="L913" s="10">
        <v>0.38541666666666669</v>
      </c>
      <c r="M913" t="s">
        <v>1671</v>
      </c>
      <c r="N913" t="s">
        <v>1672</v>
      </c>
      <c r="O913" t="s">
        <v>22</v>
      </c>
    </row>
    <row r="914" spans="1:15" hidden="1">
      <c r="A914" t="s">
        <v>15</v>
      </c>
      <c r="B914" t="str">
        <f>"FES1162688401"</f>
        <v>FES1162688401</v>
      </c>
      <c r="C914" s="9">
        <v>43592</v>
      </c>
      <c r="D914">
        <v>1</v>
      </c>
      <c r="E914">
        <v>2170687031</v>
      </c>
      <c r="F914" t="s">
        <v>16</v>
      </c>
      <c r="G914" t="s">
        <v>17</v>
      </c>
      <c r="H914" t="s">
        <v>43</v>
      </c>
      <c r="I914" t="s">
        <v>44</v>
      </c>
      <c r="J914" t="s">
        <v>51</v>
      </c>
      <c r="K914" s="9">
        <v>43594</v>
      </c>
      <c r="L914" s="10">
        <v>0.41666666666666669</v>
      </c>
      <c r="M914" t="s">
        <v>1394</v>
      </c>
      <c r="N914" t="s">
        <v>1673</v>
      </c>
      <c r="O914" t="s">
        <v>22</v>
      </c>
    </row>
    <row r="915" spans="1:15" hidden="1">
      <c r="A915" t="s">
        <v>15</v>
      </c>
      <c r="B915" t="str">
        <f>"FES1162688631"</f>
        <v>FES1162688631</v>
      </c>
      <c r="C915" s="9">
        <v>43592</v>
      </c>
      <c r="D915">
        <v>1</v>
      </c>
      <c r="E915">
        <v>2170685877</v>
      </c>
      <c r="F915" t="s">
        <v>16</v>
      </c>
      <c r="G915" t="s">
        <v>17</v>
      </c>
      <c r="H915" t="s">
        <v>32</v>
      </c>
      <c r="I915" t="s">
        <v>269</v>
      </c>
      <c r="J915" t="s">
        <v>683</v>
      </c>
      <c r="K915" s="9">
        <v>43594</v>
      </c>
      <c r="L915" s="10">
        <v>0.34722222222222227</v>
      </c>
      <c r="M915" t="s">
        <v>684</v>
      </c>
      <c r="N915" t="s">
        <v>1674</v>
      </c>
      <c r="O915" t="s">
        <v>22</v>
      </c>
    </row>
    <row r="916" spans="1:15" hidden="1">
      <c r="A916" t="s">
        <v>15</v>
      </c>
      <c r="B916" t="str">
        <f>"FES1162688533"</f>
        <v>FES1162688533</v>
      </c>
      <c r="C916" s="9">
        <v>43592</v>
      </c>
      <c r="D916">
        <v>2</v>
      </c>
      <c r="E916">
        <v>2170686129</v>
      </c>
      <c r="F916" t="s">
        <v>16</v>
      </c>
      <c r="G916" t="s">
        <v>17</v>
      </c>
      <c r="H916" t="s">
        <v>141</v>
      </c>
      <c r="I916" t="s">
        <v>142</v>
      </c>
      <c r="J916" t="s">
        <v>1675</v>
      </c>
      <c r="K916" s="9">
        <v>43594</v>
      </c>
      <c r="L916" s="10">
        <v>0.46458333333333335</v>
      </c>
      <c r="M916" t="s">
        <v>1676</v>
      </c>
      <c r="N916" t="s">
        <v>1677</v>
      </c>
      <c r="O916" t="s">
        <v>22</v>
      </c>
    </row>
    <row r="917" spans="1:15" hidden="1">
      <c r="A917" t="s">
        <v>15</v>
      </c>
      <c r="B917" t="str">
        <f>"FES1162688588"</f>
        <v>FES1162688588</v>
      </c>
      <c r="C917" s="9">
        <v>43592</v>
      </c>
      <c r="D917">
        <v>1</v>
      </c>
      <c r="E917">
        <v>217068712</v>
      </c>
      <c r="F917" t="s">
        <v>16</v>
      </c>
      <c r="G917" t="s">
        <v>17</v>
      </c>
      <c r="H917" t="s">
        <v>141</v>
      </c>
      <c r="I917" t="s">
        <v>142</v>
      </c>
      <c r="J917" t="s">
        <v>1678</v>
      </c>
      <c r="K917" s="9">
        <v>43594</v>
      </c>
      <c r="L917" s="10">
        <v>0.3611111111111111</v>
      </c>
      <c r="M917" t="s">
        <v>1679</v>
      </c>
      <c r="N917" t="s">
        <v>1680</v>
      </c>
      <c r="O917" t="s">
        <v>22</v>
      </c>
    </row>
    <row r="918" spans="1:15" hidden="1">
      <c r="A918" t="s">
        <v>15</v>
      </c>
      <c r="B918" t="str">
        <f>"FES1162688587"</f>
        <v>FES1162688587</v>
      </c>
      <c r="C918" s="9">
        <v>43592</v>
      </c>
      <c r="D918">
        <v>1</v>
      </c>
      <c r="E918">
        <v>2170686893</v>
      </c>
      <c r="F918" t="s">
        <v>16</v>
      </c>
      <c r="G918" t="s">
        <v>17</v>
      </c>
      <c r="H918" t="s">
        <v>141</v>
      </c>
      <c r="I918" t="s">
        <v>448</v>
      </c>
      <c r="J918" t="s">
        <v>449</v>
      </c>
      <c r="K918" s="9">
        <v>43594</v>
      </c>
      <c r="L918" s="10">
        <v>0.41041666666666665</v>
      </c>
      <c r="M918" t="s">
        <v>450</v>
      </c>
      <c r="N918" t="s">
        <v>1681</v>
      </c>
      <c r="O918" t="s">
        <v>22</v>
      </c>
    </row>
    <row r="919" spans="1:15">
      <c r="A919" s="6" t="s">
        <v>15</v>
      </c>
      <c r="B919" s="6" t="str">
        <f>"RFES1162688075"</f>
        <v>RFES1162688075</v>
      </c>
      <c r="C919" s="7">
        <v>43594</v>
      </c>
      <c r="D919" s="6">
        <v>1</v>
      </c>
      <c r="E919" s="6">
        <v>2170686916</v>
      </c>
      <c r="F919" s="6" t="s">
        <v>16</v>
      </c>
      <c r="G919" s="6" t="s">
        <v>17</v>
      </c>
      <c r="H919" s="6" t="s">
        <v>17</v>
      </c>
      <c r="I919" s="6" t="s">
        <v>64</v>
      </c>
      <c r="J919" s="6" t="s">
        <v>476</v>
      </c>
      <c r="K919" s="7">
        <v>43595</v>
      </c>
      <c r="L919" s="8">
        <v>0.33333333333333331</v>
      </c>
      <c r="M919" s="6" t="s">
        <v>1682</v>
      </c>
      <c r="N919" s="6" t="s">
        <v>21</v>
      </c>
      <c r="O919" s="6" t="s">
        <v>22</v>
      </c>
    </row>
    <row r="920" spans="1:15" hidden="1">
      <c r="A920" t="s">
        <v>15</v>
      </c>
      <c r="B920" t="str">
        <f>"009938576374"</f>
        <v>009938576374</v>
      </c>
      <c r="C920" s="9">
        <v>43594</v>
      </c>
      <c r="D920">
        <v>1</v>
      </c>
      <c r="E920" t="s">
        <v>22</v>
      </c>
      <c r="F920" t="s">
        <v>58</v>
      </c>
      <c r="G920" t="s">
        <v>141</v>
      </c>
      <c r="H920" t="s">
        <v>59</v>
      </c>
      <c r="I920" t="s">
        <v>64</v>
      </c>
      <c r="J920" t="s">
        <v>1061</v>
      </c>
      <c r="K920" s="9">
        <v>43595</v>
      </c>
      <c r="L920" s="10">
        <v>0.37083333333333335</v>
      </c>
      <c r="M920" t="s">
        <v>1682</v>
      </c>
      <c r="N920" t="s">
        <v>1683</v>
      </c>
      <c r="O920" t="s">
        <v>22</v>
      </c>
    </row>
    <row r="921" spans="1:15" hidden="1">
      <c r="A921" t="s">
        <v>15</v>
      </c>
      <c r="B921" t="str">
        <f>"009935723261"</f>
        <v>009935723261</v>
      </c>
      <c r="C921" s="9">
        <v>43594</v>
      </c>
      <c r="D921">
        <v>1</v>
      </c>
      <c r="E921">
        <v>1162687319</v>
      </c>
      <c r="F921" t="s">
        <v>16</v>
      </c>
      <c r="G921" t="s">
        <v>17</v>
      </c>
      <c r="H921" t="s">
        <v>141</v>
      </c>
      <c r="I921" t="s">
        <v>433</v>
      </c>
      <c r="J921" t="s">
        <v>1684</v>
      </c>
      <c r="K921" s="9">
        <v>43595</v>
      </c>
      <c r="L921" s="10">
        <v>0.43055555555555558</v>
      </c>
      <c r="M921" t="s">
        <v>1685</v>
      </c>
      <c r="N921" t="s">
        <v>1686</v>
      </c>
      <c r="O921" t="s">
        <v>605</v>
      </c>
    </row>
    <row r="922" spans="1:15">
      <c r="A922" s="6" t="s">
        <v>15</v>
      </c>
      <c r="B922" s="6" t="str">
        <f>"FES1162688742"</f>
        <v>FES1162688742</v>
      </c>
      <c r="C922" s="7">
        <v>43594</v>
      </c>
      <c r="D922" s="6">
        <v>1</v>
      </c>
      <c r="E922" s="6">
        <v>2170687272</v>
      </c>
      <c r="F922" s="6" t="s">
        <v>16</v>
      </c>
      <c r="G922" s="6" t="s">
        <v>17</v>
      </c>
      <c r="H922" s="6" t="s">
        <v>17</v>
      </c>
      <c r="I922" s="6" t="s">
        <v>18</v>
      </c>
      <c r="J922" s="6" t="s">
        <v>1687</v>
      </c>
      <c r="K922" s="7">
        <v>43595</v>
      </c>
      <c r="L922" s="8">
        <v>0.37083333333333335</v>
      </c>
      <c r="M922" s="6" t="s">
        <v>1688</v>
      </c>
      <c r="N922" s="6" t="s">
        <v>21</v>
      </c>
      <c r="O922" s="6" t="s">
        <v>22</v>
      </c>
    </row>
    <row r="923" spans="1:15">
      <c r="A923" s="6" t="s">
        <v>15</v>
      </c>
      <c r="B923" s="6" t="str">
        <f>"FES1162688687"</f>
        <v>FES1162688687</v>
      </c>
      <c r="C923" s="7">
        <v>43594</v>
      </c>
      <c r="D923" s="6">
        <v>1</v>
      </c>
      <c r="E923" s="6">
        <v>2170681804</v>
      </c>
      <c r="F923" s="6" t="s">
        <v>16</v>
      </c>
      <c r="G923" s="6" t="s">
        <v>17</v>
      </c>
      <c r="H923" s="6" t="s">
        <v>17</v>
      </c>
      <c r="I923" s="6" t="s">
        <v>84</v>
      </c>
      <c r="J923" s="6" t="s">
        <v>1689</v>
      </c>
      <c r="K923" s="7">
        <v>43595</v>
      </c>
      <c r="L923" s="8">
        <v>0.58194444444444449</v>
      </c>
      <c r="M923" s="6" t="s">
        <v>1690</v>
      </c>
      <c r="N923" s="6" t="s">
        <v>21</v>
      </c>
      <c r="O923" s="6" t="s">
        <v>22</v>
      </c>
    </row>
    <row r="924" spans="1:15">
      <c r="A924" s="6" t="s">
        <v>15</v>
      </c>
      <c r="B924" s="6" t="str">
        <f>"FES1162688762"</f>
        <v>FES1162688762</v>
      </c>
      <c r="C924" s="7">
        <v>43594</v>
      </c>
      <c r="D924" s="6">
        <v>1</v>
      </c>
      <c r="E924" s="6">
        <v>2170687488</v>
      </c>
      <c r="F924" s="6" t="s">
        <v>16</v>
      </c>
      <c r="G924" s="6" t="s">
        <v>17</v>
      </c>
      <c r="H924" s="6" t="s">
        <v>17</v>
      </c>
      <c r="I924" s="6" t="s">
        <v>64</v>
      </c>
      <c r="J924" s="6" t="s">
        <v>552</v>
      </c>
      <c r="K924" s="7">
        <v>43595</v>
      </c>
      <c r="L924" s="8">
        <v>0.35416666666666669</v>
      </c>
      <c r="M924" s="6" t="s">
        <v>1691</v>
      </c>
      <c r="N924" s="6" t="s">
        <v>21</v>
      </c>
      <c r="O924" s="6" t="s">
        <v>22</v>
      </c>
    </row>
    <row r="925" spans="1:15">
      <c r="A925" s="6" t="s">
        <v>15</v>
      </c>
      <c r="B925" s="6" t="str">
        <f>"FES1162688801"</f>
        <v>FES1162688801</v>
      </c>
      <c r="C925" s="7">
        <v>43594</v>
      </c>
      <c r="D925" s="6">
        <v>1</v>
      </c>
      <c r="E925" s="6">
        <v>2170684490</v>
      </c>
      <c r="F925" s="6" t="s">
        <v>16</v>
      </c>
      <c r="G925" s="6" t="s">
        <v>17</v>
      </c>
      <c r="H925" s="6" t="s">
        <v>17</v>
      </c>
      <c r="I925" s="6" t="s">
        <v>18</v>
      </c>
      <c r="J925" s="6" t="s">
        <v>19</v>
      </c>
      <c r="K925" s="7">
        <v>43595</v>
      </c>
      <c r="L925" s="8">
        <v>0.4069444444444445</v>
      </c>
      <c r="M925" s="6" t="s">
        <v>100</v>
      </c>
      <c r="N925" s="6" t="s">
        <v>21</v>
      </c>
      <c r="O925" s="6" t="s">
        <v>22</v>
      </c>
    </row>
    <row r="926" spans="1:15">
      <c r="A926" s="6" t="s">
        <v>15</v>
      </c>
      <c r="B926" s="6" t="str">
        <f>"FES1162688705"</f>
        <v>FES1162688705</v>
      </c>
      <c r="C926" s="7">
        <v>43594</v>
      </c>
      <c r="D926" s="6">
        <v>1</v>
      </c>
      <c r="E926" s="6">
        <v>2170683734</v>
      </c>
      <c r="F926" s="6" t="s">
        <v>16</v>
      </c>
      <c r="G926" s="6" t="s">
        <v>17</v>
      </c>
      <c r="H926" s="6" t="s">
        <v>17</v>
      </c>
      <c r="I926" s="6" t="s">
        <v>84</v>
      </c>
      <c r="J926" s="6" t="s">
        <v>1689</v>
      </c>
      <c r="K926" s="7">
        <v>43595</v>
      </c>
      <c r="L926" s="8">
        <v>0.58402777777777781</v>
      </c>
      <c r="M926" s="6" t="s">
        <v>1690</v>
      </c>
      <c r="N926" s="6" t="s">
        <v>21</v>
      </c>
      <c r="O926" s="6" t="s">
        <v>22</v>
      </c>
    </row>
    <row r="927" spans="1:15">
      <c r="A927" s="6" t="s">
        <v>15</v>
      </c>
      <c r="B927" s="6" t="str">
        <f>"FES1162688686"</f>
        <v>FES1162688686</v>
      </c>
      <c r="C927" s="7">
        <v>43594</v>
      </c>
      <c r="D927" s="6">
        <v>1</v>
      </c>
      <c r="E927" s="6">
        <v>2170681790</v>
      </c>
      <c r="F927" s="6" t="s">
        <v>16</v>
      </c>
      <c r="G927" s="6" t="s">
        <v>17</v>
      </c>
      <c r="H927" s="6" t="s">
        <v>17</v>
      </c>
      <c r="I927" s="6" t="s">
        <v>84</v>
      </c>
      <c r="J927" s="6" t="s">
        <v>1689</v>
      </c>
      <c r="K927" s="7">
        <v>43595</v>
      </c>
      <c r="L927" s="8">
        <v>0.58263888888888882</v>
      </c>
      <c r="M927" s="6" t="s">
        <v>1690</v>
      </c>
      <c r="N927" s="6" t="s">
        <v>21</v>
      </c>
      <c r="O927" s="6" t="s">
        <v>22</v>
      </c>
    </row>
    <row r="928" spans="1:15">
      <c r="A928" s="6" t="s">
        <v>15</v>
      </c>
      <c r="B928" s="6" t="str">
        <f>"FES1162688734"</f>
        <v>FES1162688734</v>
      </c>
      <c r="C928" s="7">
        <v>43594</v>
      </c>
      <c r="D928" s="6">
        <v>1</v>
      </c>
      <c r="E928" s="6">
        <v>2170686984</v>
      </c>
      <c r="F928" s="6" t="s">
        <v>16</v>
      </c>
      <c r="G928" s="6" t="s">
        <v>17</v>
      </c>
      <c r="H928" s="6" t="s">
        <v>17</v>
      </c>
      <c r="I928" s="6" t="s">
        <v>67</v>
      </c>
      <c r="J928" s="6" t="s">
        <v>1692</v>
      </c>
      <c r="K928" s="7">
        <v>43595</v>
      </c>
      <c r="L928" s="8">
        <v>0.47916666666666669</v>
      </c>
      <c r="M928" s="6" t="s">
        <v>1693</v>
      </c>
      <c r="N928" s="6" t="s">
        <v>21</v>
      </c>
      <c r="O928" s="6" t="s">
        <v>22</v>
      </c>
    </row>
    <row r="929" spans="1:15">
      <c r="A929" s="6" t="s">
        <v>15</v>
      </c>
      <c r="B929" s="6" t="str">
        <f>"FES1162688919"</f>
        <v>FES1162688919</v>
      </c>
      <c r="C929" s="7">
        <v>43594</v>
      </c>
      <c r="D929" s="6">
        <v>1</v>
      </c>
      <c r="E929" s="6">
        <v>2170687516</v>
      </c>
      <c r="F929" s="6" t="s">
        <v>16</v>
      </c>
      <c r="G929" s="6" t="s">
        <v>17</v>
      </c>
      <c r="H929" s="6" t="s">
        <v>17</v>
      </c>
      <c r="I929" s="6" t="s">
        <v>18</v>
      </c>
      <c r="J929" s="6" t="s">
        <v>19</v>
      </c>
      <c r="K929" s="7">
        <v>43595</v>
      </c>
      <c r="L929" s="8">
        <v>0.40763888888888888</v>
      </c>
      <c r="M929" s="6" t="s">
        <v>1694</v>
      </c>
      <c r="N929" s="6" t="s">
        <v>21</v>
      </c>
      <c r="O929" s="6" t="s">
        <v>22</v>
      </c>
    </row>
    <row r="930" spans="1:15">
      <c r="A930" s="6" t="s">
        <v>15</v>
      </c>
      <c r="B930" s="6" t="str">
        <f>"FES1162688911"</f>
        <v>FES1162688911</v>
      </c>
      <c r="C930" s="7">
        <v>43594</v>
      </c>
      <c r="D930" s="6">
        <v>1</v>
      </c>
      <c r="E930" s="6">
        <v>2170687507</v>
      </c>
      <c r="F930" s="6" t="s">
        <v>16</v>
      </c>
      <c r="G930" s="6" t="s">
        <v>17</v>
      </c>
      <c r="H930" s="6" t="s">
        <v>17</v>
      </c>
      <c r="I930" s="6" t="s">
        <v>18</v>
      </c>
      <c r="J930" s="6" t="s">
        <v>19</v>
      </c>
      <c r="K930" s="7">
        <v>43595</v>
      </c>
      <c r="L930" s="8">
        <v>0.40902777777777777</v>
      </c>
      <c r="M930" s="6" t="s">
        <v>1694</v>
      </c>
      <c r="N930" s="6" t="s">
        <v>21</v>
      </c>
      <c r="O930" s="6" t="s">
        <v>22</v>
      </c>
    </row>
    <row r="931" spans="1:15">
      <c r="A931" s="6" t="s">
        <v>15</v>
      </c>
      <c r="B931" s="6" t="str">
        <f>"FES1162688903"</f>
        <v>FES1162688903</v>
      </c>
      <c r="C931" s="7">
        <v>43594</v>
      </c>
      <c r="D931" s="6">
        <v>1</v>
      </c>
      <c r="E931" s="6">
        <v>21706866541</v>
      </c>
      <c r="F931" s="6" t="s">
        <v>16</v>
      </c>
      <c r="G931" s="6" t="s">
        <v>17</v>
      </c>
      <c r="H931" s="6" t="s">
        <v>17</v>
      </c>
      <c r="I931" s="6" t="s">
        <v>148</v>
      </c>
      <c r="J931" s="6" t="s">
        <v>149</v>
      </c>
      <c r="K931" s="7">
        <v>43595</v>
      </c>
      <c r="L931" s="8">
        <v>0.48958333333333331</v>
      </c>
      <c r="M931" s="6" t="s">
        <v>1695</v>
      </c>
      <c r="N931" s="6" t="s">
        <v>21</v>
      </c>
      <c r="O931" s="6" t="s">
        <v>22</v>
      </c>
    </row>
    <row r="932" spans="1:15">
      <c r="A932" s="6" t="s">
        <v>15</v>
      </c>
      <c r="B932" s="6" t="str">
        <f>"FES1162688717"</f>
        <v>FES1162688717</v>
      </c>
      <c r="C932" s="7">
        <v>43594</v>
      </c>
      <c r="D932" s="6">
        <v>1</v>
      </c>
      <c r="E932" s="6">
        <v>2170685174</v>
      </c>
      <c r="F932" s="6" t="s">
        <v>16</v>
      </c>
      <c r="G932" s="6" t="s">
        <v>17</v>
      </c>
      <c r="H932" s="6" t="s">
        <v>17</v>
      </c>
      <c r="I932" s="6" t="s">
        <v>84</v>
      </c>
      <c r="J932" s="6" t="s">
        <v>1689</v>
      </c>
      <c r="K932" s="7">
        <v>43595</v>
      </c>
      <c r="L932" s="8">
        <v>0.58263888888888882</v>
      </c>
      <c r="M932" s="6" t="s">
        <v>1690</v>
      </c>
      <c r="N932" s="6" t="s">
        <v>21</v>
      </c>
      <c r="O932" s="6" t="s">
        <v>22</v>
      </c>
    </row>
    <row r="933" spans="1:15">
      <c r="A933" s="6" t="s">
        <v>15</v>
      </c>
      <c r="B933" s="6" t="str">
        <f>"FES1162688692"</f>
        <v>FES1162688692</v>
      </c>
      <c r="C933" s="7">
        <v>43594</v>
      </c>
      <c r="D933" s="6">
        <v>1</v>
      </c>
      <c r="E933" s="6">
        <v>2170682952</v>
      </c>
      <c r="F933" s="6" t="s">
        <v>16</v>
      </c>
      <c r="G933" s="6" t="s">
        <v>17</v>
      </c>
      <c r="H933" s="6" t="s">
        <v>17</v>
      </c>
      <c r="I933" s="6" t="s">
        <v>84</v>
      </c>
      <c r="J933" s="6" t="s">
        <v>1689</v>
      </c>
      <c r="K933" s="7">
        <v>43595</v>
      </c>
      <c r="L933" s="8">
        <v>0.58194444444444449</v>
      </c>
      <c r="M933" s="6" t="s">
        <v>1690</v>
      </c>
      <c r="N933" s="6" t="s">
        <v>21</v>
      </c>
      <c r="O933" s="6" t="s">
        <v>22</v>
      </c>
    </row>
    <row r="934" spans="1:15">
      <c r="A934" s="6" t="s">
        <v>15</v>
      </c>
      <c r="B934" s="6" t="str">
        <f>"FES1162688738"</f>
        <v>FES1162688738</v>
      </c>
      <c r="C934" s="7">
        <v>43594</v>
      </c>
      <c r="D934" s="6">
        <v>1</v>
      </c>
      <c r="E934" s="6">
        <v>2170687202</v>
      </c>
      <c r="F934" s="6" t="s">
        <v>16</v>
      </c>
      <c r="G934" s="6" t="s">
        <v>17</v>
      </c>
      <c r="H934" s="6" t="s">
        <v>17</v>
      </c>
      <c r="I934" s="6" t="s">
        <v>701</v>
      </c>
      <c r="J934" s="6" t="s">
        <v>1379</v>
      </c>
      <c r="K934" s="7">
        <v>43595</v>
      </c>
      <c r="L934" s="8">
        <v>0.38541666666666669</v>
      </c>
      <c r="M934" s="6" t="s">
        <v>1696</v>
      </c>
      <c r="N934" s="6" t="s">
        <v>21</v>
      </c>
      <c r="O934" s="6" t="s">
        <v>22</v>
      </c>
    </row>
    <row r="935" spans="1:15" hidden="1">
      <c r="A935" t="s">
        <v>15</v>
      </c>
      <c r="B935" t="str">
        <f>"FES1162688548"</f>
        <v>FES1162688548</v>
      </c>
      <c r="C935" s="9">
        <v>43594</v>
      </c>
      <c r="D935">
        <v>1</v>
      </c>
      <c r="E935">
        <v>2170683293</v>
      </c>
      <c r="F935" t="s">
        <v>16</v>
      </c>
      <c r="G935" t="s">
        <v>17</v>
      </c>
      <c r="H935" t="s">
        <v>290</v>
      </c>
      <c r="I935" t="s">
        <v>291</v>
      </c>
      <c r="J935" t="s">
        <v>294</v>
      </c>
      <c r="K935" s="9">
        <v>43595</v>
      </c>
      <c r="L935" s="10">
        <v>0.35416666666666669</v>
      </c>
      <c r="M935" t="s">
        <v>1697</v>
      </c>
      <c r="N935" t="s">
        <v>1698</v>
      </c>
      <c r="O935" t="s">
        <v>22</v>
      </c>
    </row>
    <row r="936" spans="1:15" hidden="1">
      <c r="A936" t="s">
        <v>15</v>
      </c>
      <c r="B936" t="str">
        <f>"FES1162688170"</f>
        <v>FES1162688170</v>
      </c>
      <c r="C936" s="9">
        <v>43594</v>
      </c>
      <c r="D936">
        <v>1</v>
      </c>
      <c r="E936">
        <v>2170687006</v>
      </c>
      <c r="F936" t="s">
        <v>16</v>
      </c>
      <c r="G936" t="s">
        <v>17</v>
      </c>
      <c r="H936" t="s">
        <v>290</v>
      </c>
      <c r="I936" t="s">
        <v>291</v>
      </c>
      <c r="J936" t="s">
        <v>966</v>
      </c>
      <c r="K936" s="9">
        <v>43595</v>
      </c>
      <c r="L936" s="10">
        <v>0.39583333333333331</v>
      </c>
      <c r="M936" t="s">
        <v>1699</v>
      </c>
      <c r="N936" t="s">
        <v>1700</v>
      </c>
      <c r="O936" t="s">
        <v>22</v>
      </c>
    </row>
    <row r="937" spans="1:15" hidden="1">
      <c r="A937" t="s">
        <v>15</v>
      </c>
      <c r="B937" t="str">
        <f>"FES1162688233"</f>
        <v>FES1162688233</v>
      </c>
      <c r="C937" s="9">
        <v>43594</v>
      </c>
      <c r="D937">
        <v>1</v>
      </c>
      <c r="E937">
        <v>2170687053</v>
      </c>
      <c r="F937" t="s">
        <v>16</v>
      </c>
      <c r="G937" t="s">
        <v>17</v>
      </c>
      <c r="H937" t="s">
        <v>290</v>
      </c>
      <c r="I937" t="s">
        <v>309</v>
      </c>
      <c r="J937" t="s">
        <v>697</v>
      </c>
      <c r="K937" s="9">
        <v>43595</v>
      </c>
      <c r="L937" s="10">
        <v>0.4236111111111111</v>
      </c>
      <c r="M937" t="s">
        <v>1701</v>
      </c>
      <c r="N937" t="s">
        <v>1702</v>
      </c>
      <c r="O937" t="s">
        <v>22</v>
      </c>
    </row>
    <row r="938" spans="1:15">
      <c r="A938" s="6" t="s">
        <v>15</v>
      </c>
      <c r="B938" s="6" t="str">
        <f>"FES1162688442"</f>
        <v>FES1162688442</v>
      </c>
      <c r="C938" s="7">
        <v>43594</v>
      </c>
      <c r="D938" s="6">
        <v>1</v>
      </c>
      <c r="E938" s="6">
        <v>2170687250</v>
      </c>
      <c r="F938" s="6" t="s">
        <v>16</v>
      </c>
      <c r="G938" s="6" t="s">
        <v>17</v>
      </c>
      <c r="H938" s="6" t="s">
        <v>17</v>
      </c>
      <c r="I938" s="6" t="s">
        <v>64</v>
      </c>
      <c r="J938" s="6" t="s">
        <v>1703</v>
      </c>
      <c r="K938" s="7">
        <v>43598</v>
      </c>
      <c r="L938" s="8">
        <v>0.33680555555555558</v>
      </c>
      <c r="M938" s="6" t="s">
        <v>1704</v>
      </c>
      <c r="N938" s="6" t="s">
        <v>21</v>
      </c>
      <c r="O938" s="6" t="s">
        <v>22</v>
      </c>
    </row>
    <row r="939" spans="1:15" hidden="1">
      <c r="A939" t="s">
        <v>15</v>
      </c>
      <c r="B939" t="str">
        <f>"FES1162688527"</f>
        <v>FES1162688527</v>
      </c>
      <c r="C939" s="9">
        <v>43594</v>
      </c>
      <c r="D939">
        <v>1</v>
      </c>
      <c r="E939">
        <v>2170685505</v>
      </c>
      <c r="F939" t="s">
        <v>16</v>
      </c>
      <c r="G939" t="s">
        <v>17</v>
      </c>
      <c r="H939" t="s">
        <v>290</v>
      </c>
      <c r="I939" t="s">
        <v>291</v>
      </c>
      <c r="J939" t="s">
        <v>1705</v>
      </c>
      <c r="K939" s="9">
        <v>43595</v>
      </c>
      <c r="L939" s="10">
        <v>0.60416666666666663</v>
      </c>
      <c r="M939" t="s">
        <v>1706</v>
      </c>
      <c r="N939" t="s">
        <v>1707</v>
      </c>
      <c r="O939" t="s">
        <v>22</v>
      </c>
    </row>
    <row r="940" spans="1:15" hidden="1">
      <c r="A940" t="s">
        <v>15</v>
      </c>
      <c r="B940" t="str">
        <f>"FES1162688448"</f>
        <v>FES1162688448</v>
      </c>
      <c r="C940" s="9">
        <v>43594</v>
      </c>
      <c r="D940">
        <v>1</v>
      </c>
      <c r="E940">
        <v>2170687267</v>
      </c>
      <c r="F940" t="s">
        <v>16</v>
      </c>
      <c r="G940" t="s">
        <v>17</v>
      </c>
      <c r="H940" t="s">
        <v>290</v>
      </c>
      <c r="I940" t="s">
        <v>291</v>
      </c>
      <c r="J940" t="s">
        <v>1708</v>
      </c>
      <c r="K940" s="9">
        <v>43595</v>
      </c>
      <c r="L940" s="10">
        <v>0.40972222222222227</v>
      </c>
      <c r="M940" t="s">
        <v>147</v>
      </c>
      <c r="N940" t="s">
        <v>1709</v>
      </c>
      <c r="O940" t="s">
        <v>22</v>
      </c>
    </row>
    <row r="941" spans="1:15" hidden="1">
      <c r="A941" t="s">
        <v>15</v>
      </c>
      <c r="B941" t="str">
        <f>"FES1162688670"</f>
        <v>FES1162688670</v>
      </c>
      <c r="C941" s="9">
        <v>43594</v>
      </c>
      <c r="D941">
        <v>1</v>
      </c>
      <c r="E941">
        <v>2170686353</v>
      </c>
      <c r="F941" t="s">
        <v>16</v>
      </c>
      <c r="G941" t="s">
        <v>17</v>
      </c>
      <c r="H941" t="s">
        <v>37</v>
      </c>
      <c r="I941" t="s">
        <v>38</v>
      </c>
      <c r="J941" t="s">
        <v>535</v>
      </c>
      <c r="K941" s="9">
        <v>43595</v>
      </c>
      <c r="L941" s="10">
        <v>0.38055555555555554</v>
      </c>
      <c r="M941" t="s">
        <v>1648</v>
      </c>
      <c r="N941" t="s">
        <v>1710</v>
      </c>
      <c r="O941" t="s">
        <v>22</v>
      </c>
    </row>
    <row r="942" spans="1:15" hidden="1">
      <c r="A942" t="s">
        <v>15</v>
      </c>
      <c r="B942" t="str">
        <f>"FES1162688278"</f>
        <v>FES1162688278</v>
      </c>
      <c r="C942" s="9">
        <v>43594</v>
      </c>
      <c r="D942">
        <v>1</v>
      </c>
      <c r="E942">
        <v>2170687124</v>
      </c>
      <c r="F942" t="s">
        <v>16</v>
      </c>
      <c r="G942" t="s">
        <v>17</v>
      </c>
      <c r="H942" t="s">
        <v>1711</v>
      </c>
      <c r="I942" t="s">
        <v>1712</v>
      </c>
      <c r="J942" t="s">
        <v>1713</v>
      </c>
      <c r="K942" s="9">
        <v>43595</v>
      </c>
      <c r="L942" s="10">
        <v>0.45833333333333331</v>
      </c>
      <c r="M942" t="s">
        <v>1714</v>
      </c>
      <c r="N942" t="s">
        <v>1715</v>
      </c>
      <c r="O942" t="s">
        <v>22</v>
      </c>
    </row>
    <row r="943" spans="1:15" hidden="1">
      <c r="A943" t="s">
        <v>15</v>
      </c>
      <c r="B943" t="str">
        <f>"FES1162688462"</f>
        <v>FES1162688462</v>
      </c>
      <c r="C943" s="9">
        <v>43594</v>
      </c>
      <c r="D943">
        <v>1</v>
      </c>
      <c r="E943">
        <v>2170683211</v>
      </c>
      <c r="F943" t="s">
        <v>16</v>
      </c>
      <c r="G943" t="s">
        <v>17</v>
      </c>
      <c r="H943" t="s">
        <v>300</v>
      </c>
      <c r="I943" t="s">
        <v>301</v>
      </c>
      <c r="J943" t="s">
        <v>302</v>
      </c>
      <c r="K943" s="9">
        <v>43595</v>
      </c>
      <c r="L943" s="10">
        <v>0.38958333333333334</v>
      </c>
      <c r="M943" t="s">
        <v>303</v>
      </c>
      <c r="N943" t="s">
        <v>1716</v>
      </c>
      <c r="O943" t="s">
        <v>22</v>
      </c>
    </row>
    <row r="944" spans="1:15" hidden="1">
      <c r="A944" t="s">
        <v>15</v>
      </c>
      <c r="B944" t="str">
        <f>"FES1162688168"</f>
        <v>FES1162688168</v>
      </c>
      <c r="C944" s="9">
        <v>43594</v>
      </c>
      <c r="D944">
        <v>1</v>
      </c>
      <c r="E944">
        <v>2170687004</v>
      </c>
      <c r="F944" t="s">
        <v>16</v>
      </c>
      <c r="G944" t="s">
        <v>17</v>
      </c>
      <c r="H944" t="s">
        <v>290</v>
      </c>
      <c r="I944" t="s">
        <v>291</v>
      </c>
      <c r="J944" t="s">
        <v>966</v>
      </c>
      <c r="K944" s="9">
        <v>43595</v>
      </c>
      <c r="L944" s="10">
        <v>0.39583333333333331</v>
      </c>
      <c r="M944" t="s">
        <v>1699</v>
      </c>
      <c r="N944" t="s">
        <v>1717</v>
      </c>
      <c r="O944" t="s">
        <v>22</v>
      </c>
    </row>
    <row r="945" spans="1:15" hidden="1">
      <c r="A945" t="s">
        <v>15</v>
      </c>
      <c r="B945" t="str">
        <f>"FES1162688706"</f>
        <v>FES1162688706</v>
      </c>
      <c r="C945" s="9">
        <v>43594</v>
      </c>
      <c r="D945">
        <v>1</v>
      </c>
      <c r="E945">
        <v>2170683800</v>
      </c>
      <c r="F945" t="s">
        <v>58</v>
      </c>
      <c r="G945" t="s">
        <v>59</v>
      </c>
      <c r="H945" t="s">
        <v>1507</v>
      </c>
      <c r="I945" t="s">
        <v>1376</v>
      </c>
      <c r="J945" t="s">
        <v>1718</v>
      </c>
      <c r="K945" s="9">
        <v>43598</v>
      </c>
      <c r="L945" s="10">
        <v>0.33333333333333331</v>
      </c>
      <c r="M945" t="s">
        <v>1719</v>
      </c>
      <c r="N945" t="s">
        <v>1720</v>
      </c>
      <c r="O945" t="s">
        <v>22</v>
      </c>
    </row>
    <row r="946" spans="1:15" hidden="1">
      <c r="A946" t="s">
        <v>15</v>
      </c>
      <c r="B946" t="str">
        <f>"FES1162688765"</f>
        <v>FES1162688765</v>
      </c>
      <c r="C946" s="9">
        <v>43594</v>
      </c>
      <c r="D946">
        <v>1</v>
      </c>
      <c r="E946">
        <v>2170687497</v>
      </c>
      <c r="F946" t="s">
        <v>16</v>
      </c>
      <c r="G946" t="s">
        <v>17</v>
      </c>
      <c r="H946" t="s">
        <v>290</v>
      </c>
      <c r="I946" t="s">
        <v>291</v>
      </c>
      <c r="J946" t="s">
        <v>1721</v>
      </c>
      <c r="K946" s="9">
        <v>43595</v>
      </c>
      <c r="L946" s="10">
        <v>0.43472222222222223</v>
      </c>
      <c r="M946" t="s">
        <v>1722</v>
      </c>
      <c r="N946" t="s">
        <v>1723</v>
      </c>
      <c r="O946" t="s">
        <v>22</v>
      </c>
    </row>
    <row r="947" spans="1:15" hidden="1">
      <c r="A947" t="s">
        <v>15</v>
      </c>
      <c r="B947" t="str">
        <f>"FES1162688512"</f>
        <v>FES1162688512</v>
      </c>
      <c r="C947" s="9">
        <v>43594</v>
      </c>
      <c r="D947">
        <v>1</v>
      </c>
      <c r="E947">
        <v>2170685342</v>
      </c>
      <c r="F947" t="s">
        <v>16</v>
      </c>
      <c r="G947" t="s">
        <v>17</v>
      </c>
      <c r="H947" t="s">
        <v>32</v>
      </c>
      <c r="I947" t="s">
        <v>33</v>
      </c>
      <c r="J947" t="s">
        <v>34</v>
      </c>
      <c r="K947" s="9">
        <v>43595</v>
      </c>
      <c r="L947" s="10">
        <v>0.34722222222222227</v>
      </c>
      <c r="M947" t="s">
        <v>35</v>
      </c>
      <c r="N947" t="s">
        <v>1724</v>
      </c>
      <c r="O947" t="s">
        <v>22</v>
      </c>
    </row>
    <row r="948" spans="1:15">
      <c r="A948" s="6" t="s">
        <v>15</v>
      </c>
      <c r="B948" s="6" t="str">
        <f>"FES1162688713"</f>
        <v>FES1162688713</v>
      </c>
      <c r="C948" s="7">
        <v>43594</v>
      </c>
      <c r="D948" s="6">
        <v>1</v>
      </c>
      <c r="E948" s="6">
        <v>2170684797</v>
      </c>
      <c r="F948" s="6" t="s">
        <v>16</v>
      </c>
      <c r="G948" s="6" t="s">
        <v>17</v>
      </c>
      <c r="H948" s="6" t="s">
        <v>17</v>
      </c>
      <c r="I948" s="6" t="s">
        <v>18</v>
      </c>
      <c r="J948" s="6" t="s">
        <v>19</v>
      </c>
      <c r="K948" s="7">
        <v>43595</v>
      </c>
      <c r="L948" s="8">
        <v>0.4069444444444445</v>
      </c>
      <c r="M948" s="6" t="s">
        <v>100</v>
      </c>
      <c r="N948" s="6" t="s">
        <v>21</v>
      </c>
      <c r="O948" s="6" t="s">
        <v>22</v>
      </c>
    </row>
    <row r="949" spans="1:15">
      <c r="A949" s="6" t="s">
        <v>15</v>
      </c>
      <c r="B949" s="6" t="str">
        <f>"FES1162688726"</f>
        <v>FES1162688726</v>
      </c>
      <c r="C949" s="7">
        <v>43594</v>
      </c>
      <c r="D949" s="6">
        <v>1</v>
      </c>
      <c r="E949" s="6">
        <v>2170685980</v>
      </c>
      <c r="F949" s="6" t="s">
        <v>16</v>
      </c>
      <c r="G949" s="6" t="s">
        <v>17</v>
      </c>
      <c r="H949" s="6" t="s">
        <v>17</v>
      </c>
      <c r="I949" s="6" t="s">
        <v>148</v>
      </c>
      <c r="J949" s="6" t="s">
        <v>153</v>
      </c>
      <c r="K949" s="7">
        <v>43595</v>
      </c>
      <c r="L949" s="8">
        <v>0.33333333333333331</v>
      </c>
      <c r="M949" s="6" t="s">
        <v>100</v>
      </c>
      <c r="N949" s="6" t="s">
        <v>21</v>
      </c>
      <c r="O949" s="6" t="s">
        <v>22</v>
      </c>
    </row>
    <row r="950" spans="1:15">
      <c r="A950" s="6" t="s">
        <v>15</v>
      </c>
      <c r="B950" s="6" t="str">
        <f>"FES1162688693"</f>
        <v>FES1162688693</v>
      </c>
      <c r="C950" s="7">
        <v>43594</v>
      </c>
      <c r="D950" s="6">
        <v>1</v>
      </c>
      <c r="E950" s="6">
        <v>2170683085</v>
      </c>
      <c r="F950" s="6" t="s">
        <v>16</v>
      </c>
      <c r="G950" s="6" t="s">
        <v>17</v>
      </c>
      <c r="H950" s="6" t="s">
        <v>17</v>
      </c>
      <c r="I950" s="6" t="s">
        <v>84</v>
      </c>
      <c r="J950" s="6" t="s">
        <v>1689</v>
      </c>
      <c r="K950" s="7">
        <v>43595</v>
      </c>
      <c r="L950" s="8">
        <v>0.58333333333333337</v>
      </c>
      <c r="M950" s="6" t="s">
        <v>1690</v>
      </c>
      <c r="N950" s="6" t="s">
        <v>21</v>
      </c>
      <c r="O950" s="6" t="s">
        <v>22</v>
      </c>
    </row>
    <row r="951" spans="1:15">
      <c r="A951" s="6" t="s">
        <v>15</v>
      </c>
      <c r="B951" s="6" t="str">
        <f>"FES1162688718"</f>
        <v>FES1162688718</v>
      </c>
      <c r="C951" s="7">
        <v>43594</v>
      </c>
      <c r="D951" s="6">
        <v>1</v>
      </c>
      <c r="E951" s="6">
        <v>2170685223</v>
      </c>
      <c r="F951" s="6" t="s">
        <v>16</v>
      </c>
      <c r="G951" s="6" t="s">
        <v>17</v>
      </c>
      <c r="H951" s="6" t="s">
        <v>17</v>
      </c>
      <c r="I951" s="6" t="s">
        <v>84</v>
      </c>
      <c r="J951" s="6" t="s">
        <v>1689</v>
      </c>
      <c r="K951" s="7">
        <v>43595</v>
      </c>
      <c r="L951" s="8">
        <v>0.58333333333333337</v>
      </c>
      <c r="M951" s="6" t="s">
        <v>1690</v>
      </c>
      <c r="N951" s="6" t="s">
        <v>21</v>
      </c>
      <c r="O951" s="6" t="s">
        <v>22</v>
      </c>
    </row>
    <row r="952" spans="1:15">
      <c r="A952" s="6" t="s">
        <v>15</v>
      </c>
      <c r="B952" s="6" t="str">
        <f>"FES1162688715"</f>
        <v>FES1162688715</v>
      </c>
      <c r="C952" s="7">
        <v>43594</v>
      </c>
      <c r="D952" s="6">
        <v>1</v>
      </c>
      <c r="E952" s="6">
        <v>2170685113</v>
      </c>
      <c r="F952" s="6" t="s">
        <v>16</v>
      </c>
      <c r="G952" s="6" t="s">
        <v>17</v>
      </c>
      <c r="H952" s="6" t="s">
        <v>17</v>
      </c>
      <c r="I952" s="6" t="s">
        <v>18</v>
      </c>
      <c r="J952" s="6" t="s">
        <v>19</v>
      </c>
      <c r="K952" s="7">
        <v>43595</v>
      </c>
      <c r="L952" s="8">
        <v>0.4069444444444445</v>
      </c>
      <c r="M952" s="6" t="s">
        <v>100</v>
      </c>
      <c r="N952" s="6" t="s">
        <v>21</v>
      </c>
      <c r="O952" s="6" t="s">
        <v>22</v>
      </c>
    </row>
    <row r="953" spans="1:15">
      <c r="A953" s="6" t="s">
        <v>15</v>
      </c>
      <c r="B953" s="6" t="str">
        <f>"FES1162688465"</f>
        <v>FES1162688465</v>
      </c>
      <c r="C953" s="7">
        <v>43594</v>
      </c>
      <c r="D953" s="6">
        <v>1</v>
      </c>
      <c r="E953" s="6">
        <v>2170684090</v>
      </c>
      <c r="F953" s="6" t="s">
        <v>16</v>
      </c>
      <c r="G953" s="6" t="s">
        <v>17</v>
      </c>
      <c r="H953" s="6" t="s">
        <v>17</v>
      </c>
      <c r="I953" s="6" t="s">
        <v>64</v>
      </c>
      <c r="J953" s="6" t="s">
        <v>513</v>
      </c>
      <c r="K953" s="7">
        <v>43595</v>
      </c>
      <c r="L953" s="8">
        <v>0.33333333333333331</v>
      </c>
      <c r="M953" s="6" t="s">
        <v>1725</v>
      </c>
      <c r="N953" s="6" t="s">
        <v>21</v>
      </c>
      <c r="O953" s="6" t="s">
        <v>22</v>
      </c>
    </row>
    <row r="954" spans="1:15">
      <c r="A954" s="6" t="s">
        <v>15</v>
      </c>
      <c r="B954" s="6" t="str">
        <f>"FES1162688896"</f>
        <v>FES1162688896</v>
      </c>
      <c r="C954" s="7">
        <v>43594</v>
      </c>
      <c r="D954" s="6">
        <v>1</v>
      </c>
      <c r="E954" s="6">
        <v>2170686315</v>
      </c>
      <c r="F954" s="6" t="s">
        <v>16</v>
      </c>
      <c r="G954" s="6" t="s">
        <v>17</v>
      </c>
      <c r="H954" s="6" t="s">
        <v>17</v>
      </c>
      <c r="I954" s="6" t="s">
        <v>18</v>
      </c>
      <c r="J954" s="6" t="s">
        <v>408</v>
      </c>
      <c r="K954" s="7">
        <v>43595</v>
      </c>
      <c r="L954" s="8">
        <v>0.38194444444444442</v>
      </c>
      <c r="M954" s="6" t="s">
        <v>1726</v>
      </c>
      <c r="N954" s="6" t="s">
        <v>21</v>
      </c>
      <c r="O954" s="6" t="s">
        <v>22</v>
      </c>
    </row>
    <row r="955" spans="1:15" hidden="1">
      <c r="A955" t="s">
        <v>15</v>
      </c>
      <c r="B955" t="str">
        <f>"FES1162688584"</f>
        <v>FES1162688584</v>
      </c>
      <c r="C955" s="9">
        <v>43594</v>
      </c>
      <c r="D955">
        <v>1</v>
      </c>
      <c r="E955">
        <v>2170686587</v>
      </c>
      <c r="F955" t="s">
        <v>16</v>
      </c>
      <c r="G955" t="s">
        <v>17</v>
      </c>
      <c r="H955" t="s">
        <v>32</v>
      </c>
      <c r="I955" t="s">
        <v>33</v>
      </c>
      <c r="J955" t="s">
        <v>360</v>
      </c>
      <c r="K955" s="9">
        <v>43595</v>
      </c>
      <c r="L955" s="10">
        <v>0.35972222222222222</v>
      </c>
      <c r="M955" t="s">
        <v>1727</v>
      </c>
      <c r="N955" t="s">
        <v>1728</v>
      </c>
      <c r="O955" t="s">
        <v>22</v>
      </c>
    </row>
    <row r="956" spans="1:15" hidden="1">
      <c r="A956" t="s">
        <v>15</v>
      </c>
      <c r="B956" t="str">
        <f>"FES1162688223"</f>
        <v>FES1162688223</v>
      </c>
      <c r="C956" s="9">
        <v>43594</v>
      </c>
      <c r="D956">
        <v>1</v>
      </c>
      <c r="E956">
        <v>2170686594</v>
      </c>
      <c r="F956" t="s">
        <v>16</v>
      </c>
      <c r="G956" t="s">
        <v>17</v>
      </c>
      <c r="H956" t="s">
        <v>290</v>
      </c>
      <c r="I956" t="s">
        <v>291</v>
      </c>
      <c r="J956" t="s">
        <v>297</v>
      </c>
      <c r="K956" s="9">
        <v>43595</v>
      </c>
      <c r="L956" s="10">
        <v>0.38263888888888892</v>
      </c>
      <c r="M956" t="s">
        <v>298</v>
      </c>
      <c r="N956" t="s">
        <v>1729</v>
      </c>
      <c r="O956" t="s">
        <v>22</v>
      </c>
    </row>
    <row r="957" spans="1:15" hidden="1">
      <c r="A957" t="s">
        <v>15</v>
      </c>
      <c r="B957" t="str">
        <f>"FES1162688399"</f>
        <v>FES1162688399</v>
      </c>
      <c r="C957" s="9">
        <v>43594</v>
      </c>
      <c r="D957">
        <v>1</v>
      </c>
      <c r="E957">
        <v>2170687023</v>
      </c>
      <c r="F957" t="s">
        <v>16</v>
      </c>
      <c r="G957" t="s">
        <v>17</v>
      </c>
      <c r="H957" t="s">
        <v>32</v>
      </c>
      <c r="I957" t="s">
        <v>1198</v>
      </c>
      <c r="J957" t="s">
        <v>1199</v>
      </c>
      <c r="K957" t="s">
        <v>1730</v>
      </c>
      <c r="L957"/>
      <c r="M957" t="s">
        <v>1731</v>
      </c>
      <c r="N957" t="s">
        <v>1732</v>
      </c>
      <c r="O957" t="s">
        <v>22</v>
      </c>
    </row>
    <row r="958" spans="1:15" hidden="1">
      <c r="A958" t="s">
        <v>15</v>
      </c>
      <c r="B958" t="str">
        <f>"FES1162688198"</f>
        <v>FES1162688198</v>
      </c>
      <c r="C958" s="9">
        <v>43594</v>
      </c>
      <c r="D958">
        <v>2</v>
      </c>
      <c r="E958">
        <v>2170684166</v>
      </c>
      <c r="F958" t="s">
        <v>58</v>
      </c>
      <c r="G958" t="s">
        <v>59</v>
      </c>
      <c r="H958" t="s">
        <v>59</v>
      </c>
      <c r="I958" t="s">
        <v>601</v>
      </c>
      <c r="J958" t="s">
        <v>624</v>
      </c>
      <c r="K958" s="9">
        <v>43595</v>
      </c>
      <c r="L958" s="10">
        <v>0.55902777777777779</v>
      </c>
      <c r="M958" t="s">
        <v>1733</v>
      </c>
      <c r="N958" t="s">
        <v>1734</v>
      </c>
      <c r="O958" t="s">
        <v>22</v>
      </c>
    </row>
    <row r="959" spans="1:15" hidden="1">
      <c r="A959" t="s">
        <v>15</v>
      </c>
      <c r="B959" t="str">
        <f>"FES1162688568"</f>
        <v>FES1162688568</v>
      </c>
      <c r="C959" s="9">
        <v>43594</v>
      </c>
      <c r="D959">
        <v>1</v>
      </c>
      <c r="E959">
        <v>2170687312</v>
      </c>
      <c r="F959" t="s">
        <v>16</v>
      </c>
      <c r="G959" t="s">
        <v>17</v>
      </c>
      <c r="H959" t="s">
        <v>43</v>
      </c>
      <c r="I959" t="s">
        <v>44</v>
      </c>
      <c r="J959" t="s">
        <v>1735</v>
      </c>
      <c r="K959" s="9">
        <v>43598</v>
      </c>
      <c r="L959" s="10">
        <v>0.3972222222222222</v>
      </c>
      <c r="M959" t="s">
        <v>1736</v>
      </c>
      <c r="N959" t="s">
        <v>1737</v>
      </c>
      <c r="O959" t="s">
        <v>22</v>
      </c>
    </row>
    <row r="960" spans="1:15" hidden="1">
      <c r="A960" t="s">
        <v>15</v>
      </c>
      <c r="B960" t="str">
        <f>"FES1162688628"</f>
        <v>FES1162688628</v>
      </c>
      <c r="C960" s="9">
        <v>43594</v>
      </c>
      <c r="D960">
        <v>1</v>
      </c>
      <c r="E960">
        <v>2170687397</v>
      </c>
      <c r="F960" t="s">
        <v>16</v>
      </c>
      <c r="G960" t="s">
        <v>17</v>
      </c>
      <c r="H960" t="s">
        <v>37</v>
      </c>
      <c r="I960" t="s">
        <v>38</v>
      </c>
      <c r="J960" t="s">
        <v>535</v>
      </c>
      <c r="K960" s="9">
        <v>43595</v>
      </c>
      <c r="L960" s="10">
        <v>0.375</v>
      </c>
      <c r="M960" t="s">
        <v>1738</v>
      </c>
      <c r="N960" t="s">
        <v>1739</v>
      </c>
      <c r="O960" t="s">
        <v>22</v>
      </c>
    </row>
    <row r="961" spans="1:15" hidden="1">
      <c r="A961" t="s">
        <v>15</v>
      </c>
      <c r="B961" t="str">
        <f>"FES1162688621"</f>
        <v>FES1162688621</v>
      </c>
      <c r="C961" s="9">
        <v>43594</v>
      </c>
      <c r="D961">
        <v>1</v>
      </c>
      <c r="E961">
        <v>2170687387</v>
      </c>
      <c r="F961" t="s">
        <v>16</v>
      </c>
      <c r="G961" t="s">
        <v>17</v>
      </c>
      <c r="H961" t="s">
        <v>37</v>
      </c>
      <c r="I961" t="s">
        <v>38</v>
      </c>
      <c r="J961" t="s">
        <v>39</v>
      </c>
      <c r="K961" s="9">
        <v>43595</v>
      </c>
      <c r="L961" s="10">
        <v>0.36736111111111108</v>
      </c>
      <c r="M961" t="s">
        <v>1740</v>
      </c>
      <c r="N961" t="s">
        <v>1741</v>
      </c>
      <c r="O961" t="s">
        <v>22</v>
      </c>
    </row>
    <row r="962" spans="1:15">
      <c r="A962" s="6" t="s">
        <v>15</v>
      </c>
      <c r="B962" s="6" t="str">
        <f>"FES1162688518"</f>
        <v>FES1162688518</v>
      </c>
      <c r="C962" s="7">
        <v>43594</v>
      </c>
      <c r="D962" s="6">
        <v>1</v>
      </c>
      <c r="E962" s="6">
        <v>2170685408</v>
      </c>
      <c r="F962" s="6" t="s">
        <v>16</v>
      </c>
      <c r="G962" s="6" t="s">
        <v>17</v>
      </c>
      <c r="H962" s="6" t="s">
        <v>17</v>
      </c>
      <c r="I962" s="6" t="s">
        <v>64</v>
      </c>
      <c r="J962" s="6" t="s">
        <v>1742</v>
      </c>
      <c r="K962" s="7">
        <v>43595</v>
      </c>
      <c r="L962" s="8">
        <v>0.41319444444444442</v>
      </c>
      <c r="M962" s="6" t="s">
        <v>1743</v>
      </c>
      <c r="N962" s="6" t="s">
        <v>21</v>
      </c>
      <c r="O962" s="6" t="s">
        <v>22</v>
      </c>
    </row>
    <row r="963" spans="1:15" hidden="1">
      <c r="A963" t="s">
        <v>15</v>
      </c>
      <c r="B963" t="str">
        <f>"FES1162688464"</f>
        <v>FES1162688464</v>
      </c>
      <c r="C963" s="9">
        <v>43594</v>
      </c>
      <c r="D963">
        <v>1</v>
      </c>
      <c r="E963">
        <v>2170683803</v>
      </c>
      <c r="F963" t="s">
        <v>16</v>
      </c>
      <c r="G963" t="s">
        <v>17</v>
      </c>
      <c r="H963" t="s">
        <v>290</v>
      </c>
      <c r="I963" t="s">
        <v>291</v>
      </c>
      <c r="J963" t="s">
        <v>1744</v>
      </c>
      <c r="K963" s="9">
        <v>43595</v>
      </c>
      <c r="L963" s="10">
        <v>0.39583333333333331</v>
      </c>
      <c r="M963" t="s">
        <v>1745</v>
      </c>
      <c r="N963" t="s">
        <v>1746</v>
      </c>
      <c r="O963" t="s">
        <v>22</v>
      </c>
    </row>
    <row r="964" spans="1:15">
      <c r="A964" s="6" t="s">
        <v>15</v>
      </c>
      <c r="B964" s="6" t="str">
        <f>"FES1162688943"</f>
        <v>FES1162688943</v>
      </c>
      <c r="C964" s="7">
        <v>43594</v>
      </c>
      <c r="D964" s="6">
        <v>1</v>
      </c>
      <c r="E964" s="6">
        <v>2170687544</v>
      </c>
      <c r="F964" s="6" t="s">
        <v>16</v>
      </c>
      <c r="G964" s="6" t="s">
        <v>17</v>
      </c>
      <c r="H964" s="6" t="s">
        <v>17</v>
      </c>
      <c r="I964" s="6" t="s">
        <v>18</v>
      </c>
      <c r="J964" s="6" t="s">
        <v>19</v>
      </c>
      <c r="K964" s="7">
        <v>43595</v>
      </c>
      <c r="L964" s="8">
        <v>0.4069444444444445</v>
      </c>
      <c r="M964" s="6" t="s">
        <v>100</v>
      </c>
      <c r="N964" s="6" t="s">
        <v>21</v>
      </c>
      <c r="O964" s="6" t="s">
        <v>22</v>
      </c>
    </row>
    <row r="965" spans="1:15">
      <c r="A965" s="6" t="s">
        <v>15</v>
      </c>
      <c r="B965" s="6" t="str">
        <f>"FES1162688994"</f>
        <v>FES1162688994</v>
      </c>
      <c r="C965" s="7">
        <v>43594</v>
      </c>
      <c r="D965" s="6">
        <v>1</v>
      </c>
      <c r="E965" s="6">
        <v>2170687587</v>
      </c>
      <c r="F965" s="6" t="s">
        <v>16</v>
      </c>
      <c r="G965" s="6" t="s">
        <v>17</v>
      </c>
      <c r="H965" s="6" t="s">
        <v>17</v>
      </c>
      <c r="I965" s="6" t="s">
        <v>613</v>
      </c>
      <c r="J965" s="6" t="s">
        <v>1747</v>
      </c>
      <c r="K965" s="7">
        <v>43595</v>
      </c>
      <c r="L965" s="8">
        <v>0.52500000000000002</v>
      </c>
      <c r="M965" s="6" t="s">
        <v>1748</v>
      </c>
      <c r="N965" s="6" t="s">
        <v>21</v>
      </c>
      <c r="O965" s="6" t="s">
        <v>22</v>
      </c>
    </row>
    <row r="966" spans="1:15">
      <c r="A966" s="6" t="s">
        <v>15</v>
      </c>
      <c r="B966" s="6" t="str">
        <f>"FES1162688944"</f>
        <v>FES1162688944</v>
      </c>
      <c r="C966" s="7">
        <v>43594</v>
      </c>
      <c r="D966" s="6">
        <v>1</v>
      </c>
      <c r="E966" s="6">
        <v>2170687546</v>
      </c>
      <c r="F966" s="6" t="s">
        <v>16</v>
      </c>
      <c r="G966" s="6" t="s">
        <v>17</v>
      </c>
      <c r="H966" s="6" t="s">
        <v>17</v>
      </c>
      <c r="I966" s="6" t="s">
        <v>18</v>
      </c>
      <c r="J966" s="6" t="s">
        <v>160</v>
      </c>
      <c r="K966" s="7">
        <v>43595</v>
      </c>
      <c r="L966" s="8">
        <v>0.3756944444444445</v>
      </c>
      <c r="M966" s="6" t="s">
        <v>1749</v>
      </c>
      <c r="N966" s="6" t="s">
        <v>21</v>
      </c>
      <c r="O966" s="6" t="s">
        <v>22</v>
      </c>
    </row>
    <row r="967" spans="1:15" hidden="1">
      <c r="A967" t="s">
        <v>15</v>
      </c>
      <c r="B967" t="str">
        <f>"FES1162688678"</f>
        <v>FES1162688678</v>
      </c>
      <c r="C967" s="9">
        <v>43594</v>
      </c>
      <c r="D967">
        <v>1</v>
      </c>
      <c r="E967">
        <v>2170669114</v>
      </c>
      <c r="F967" t="s">
        <v>16</v>
      </c>
      <c r="G967" t="s">
        <v>17</v>
      </c>
      <c r="H967" t="s">
        <v>32</v>
      </c>
      <c r="I967" t="s">
        <v>33</v>
      </c>
      <c r="J967" t="s">
        <v>832</v>
      </c>
      <c r="K967" s="9">
        <v>43595</v>
      </c>
      <c r="L967" s="10">
        <v>0.41666666666666669</v>
      </c>
      <c r="M967" t="s">
        <v>787</v>
      </c>
      <c r="N967" t="s">
        <v>1750</v>
      </c>
      <c r="O967" t="s">
        <v>22</v>
      </c>
    </row>
    <row r="968" spans="1:15">
      <c r="A968" s="6" t="s">
        <v>15</v>
      </c>
      <c r="B968" s="6" t="str">
        <f>"FES1162688937"</f>
        <v>FES1162688937</v>
      </c>
      <c r="C968" s="7">
        <v>43594</v>
      </c>
      <c r="D968" s="6">
        <v>1</v>
      </c>
      <c r="E968" s="6">
        <v>2170687413</v>
      </c>
      <c r="F968" s="6" t="s">
        <v>16</v>
      </c>
      <c r="G968" s="6" t="s">
        <v>17</v>
      </c>
      <c r="H968" s="6" t="s">
        <v>17</v>
      </c>
      <c r="I968" s="6" t="s">
        <v>26</v>
      </c>
      <c r="J968" s="6" t="s">
        <v>1751</v>
      </c>
      <c r="K968" s="7">
        <v>43598</v>
      </c>
      <c r="L968" s="8">
        <v>0.34722222222222227</v>
      </c>
      <c r="M968" s="6" t="s">
        <v>1752</v>
      </c>
      <c r="N968" s="6" t="s">
        <v>21</v>
      </c>
      <c r="O968" s="6" t="s">
        <v>22</v>
      </c>
    </row>
    <row r="969" spans="1:15">
      <c r="A969" s="6" t="s">
        <v>15</v>
      </c>
      <c r="B969" s="6" t="str">
        <f>"FES1162688935"</f>
        <v>FES1162688935</v>
      </c>
      <c r="C969" s="7">
        <v>43594</v>
      </c>
      <c r="D969" s="6">
        <v>1</v>
      </c>
      <c r="E969" s="6">
        <v>2170687342</v>
      </c>
      <c r="F969" s="6" t="s">
        <v>16</v>
      </c>
      <c r="G969" s="6" t="s">
        <v>17</v>
      </c>
      <c r="H969" s="6" t="s">
        <v>17</v>
      </c>
      <c r="I969" s="6" t="s">
        <v>64</v>
      </c>
      <c r="J969" s="6" t="s">
        <v>1753</v>
      </c>
      <c r="K969" s="7">
        <v>43595</v>
      </c>
      <c r="L969" s="8">
        <v>0.30416666666666664</v>
      </c>
      <c r="M969" s="6" t="s">
        <v>1754</v>
      </c>
      <c r="N969" s="6" t="s">
        <v>21</v>
      </c>
      <c r="O969" s="6" t="s">
        <v>22</v>
      </c>
    </row>
    <row r="970" spans="1:15" hidden="1">
      <c r="A970" t="s">
        <v>15</v>
      </c>
      <c r="B970" t="str">
        <f>"FES1162688722"</f>
        <v>FES1162688722</v>
      </c>
      <c r="C970" s="9">
        <v>43594</v>
      </c>
      <c r="D970">
        <v>1</v>
      </c>
      <c r="E970">
        <v>2170685777</v>
      </c>
      <c r="F970" t="s">
        <v>16</v>
      </c>
      <c r="G970" t="s">
        <v>17</v>
      </c>
      <c r="H970" t="s">
        <v>32</v>
      </c>
      <c r="I970" t="s">
        <v>342</v>
      </c>
      <c r="J970" t="s">
        <v>949</v>
      </c>
      <c r="K970" s="9">
        <v>43595</v>
      </c>
      <c r="L970" s="10">
        <v>0.43541666666666662</v>
      </c>
      <c r="M970" t="s">
        <v>1755</v>
      </c>
      <c r="N970" t="s">
        <v>1756</v>
      </c>
      <c r="O970" t="s">
        <v>22</v>
      </c>
    </row>
    <row r="971" spans="1:15">
      <c r="A971" s="6" t="s">
        <v>15</v>
      </c>
      <c r="B971" s="6" t="str">
        <f>"FES1162688818"</f>
        <v>FES1162688818</v>
      </c>
      <c r="C971" s="7">
        <v>43594</v>
      </c>
      <c r="D971" s="6">
        <v>1</v>
      </c>
      <c r="E971" s="6">
        <v>2170685531</v>
      </c>
      <c r="F971" s="6" t="s">
        <v>16</v>
      </c>
      <c r="G971" s="6" t="s">
        <v>17</v>
      </c>
      <c r="H971" s="6" t="s">
        <v>17</v>
      </c>
      <c r="I971" s="6" t="s">
        <v>148</v>
      </c>
      <c r="J971" s="6" t="s">
        <v>153</v>
      </c>
      <c r="K971" s="7">
        <v>43595</v>
      </c>
      <c r="L971" s="8">
        <v>0.43194444444444446</v>
      </c>
      <c r="M971" s="6" t="s">
        <v>712</v>
      </c>
      <c r="N971" s="6" t="s">
        <v>21</v>
      </c>
      <c r="O971" s="6" t="s">
        <v>22</v>
      </c>
    </row>
    <row r="972" spans="1:15">
      <c r="A972" s="6" t="s">
        <v>15</v>
      </c>
      <c r="B972" s="6" t="str">
        <f>"FES1162688941"</f>
        <v>FES1162688941</v>
      </c>
      <c r="C972" s="7">
        <v>43594</v>
      </c>
      <c r="D972" s="6">
        <v>1</v>
      </c>
      <c r="E972" s="6">
        <v>2170687542</v>
      </c>
      <c r="F972" s="6" t="s">
        <v>16</v>
      </c>
      <c r="G972" s="6" t="s">
        <v>17</v>
      </c>
      <c r="H972" s="6" t="s">
        <v>17</v>
      </c>
      <c r="I972" s="6" t="s">
        <v>18</v>
      </c>
      <c r="J972" s="6" t="s">
        <v>19</v>
      </c>
      <c r="K972" s="7">
        <v>43595</v>
      </c>
      <c r="L972" s="8">
        <v>0.40902777777777777</v>
      </c>
      <c r="M972" s="6" t="s">
        <v>1694</v>
      </c>
      <c r="N972" s="6" t="s">
        <v>21</v>
      </c>
      <c r="O972" s="6" t="s">
        <v>22</v>
      </c>
    </row>
    <row r="973" spans="1:15" hidden="1">
      <c r="A973" t="s">
        <v>15</v>
      </c>
      <c r="B973" t="str">
        <f>"FES1162688714"</f>
        <v>FES1162688714</v>
      </c>
      <c r="C973" s="9">
        <v>43594</v>
      </c>
      <c r="D973">
        <v>1</v>
      </c>
      <c r="E973">
        <v>21700685038</v>
      </c>
      <c r="F973" t="s">
        <v>16</v>
      </c>
      <c r="G973" t="s">
        <v>17</v>
      </c>
      <c r="H973" t="s">
        <v>43</v>
      </c>
      <c r="I973" t="s">
        <v>44</v>
      </c>
      <c r="J973" t="s">
        <v>353</v>
      </c>
      <c r="K973" s="9">
        <v>43598</v>
      </c>
      <c r="L973" s="10">
        <v>0.3840277777777778</v>
      </c>
      <c r="M973" t="s">
        <v>1757</v>
      </c>
      <c r="N973" t="s">
        <v>1758</v>
      </c>
      <c r="O973" t="s">
        <v>22</v>
      </c>
    </row>
    <row r="974" spans="1:15" hidden="1">
      <c r="A974" t="s">
        <v>15</v>
      </c>
      <c r="B974" t="str">
        <f>"FES1162688696"</f>
        <v>FES1162688696</v>
      </c>
      <c r="C974" s="9">
        <v>43594</v>
      </c>
      <c r="D974">
        <v>1</v>
      </c>
      <c r="E974">
        <v>2170683221</v>
      </c>
      <c r="F974" t="s">
        <v>16</v>
      </c>
      <c r="G974" t="s">
        <v>17</v>
      </c>
      <c r="H974" t="s">
        <v>43</v>
      </c>
      <c r="I974" t="s">
        <v>75</v>
      </c>
      <c r="J974" t="s">
        <v>811</v>
      </c>
      <c r="K974" s="9">
        <v>43598</v>
      </c>
      <c r="L974" s="10">
        <v>0.48888888888888887</v>
      </c>
      <c r="M974" t="s">
        <v>1167</v>
      </c>
      <c r="N974" t="s">
        <v>1759</v>
      </c>
      <c r="O974" t="s">
        <v>22</v>
      </c>
    </row>
    <row r="975" spans="1:15" hidden="1">
      <c r="A975" t="s">
        <v>15</v>
      </c>
      <c r="B975" t="str">
        <f>"FES1162688699"</f>
        <v>FES1162688699</v>
      </c>
      <c r="C975" s="9">
        <v>43594</v>
      </c>
      <c r="D975">
        <v>1</v>
      </c>
      <c r="E975">
        <v>2170683367</v>
      </c>
      <c r="F975" t="s">
        <v>16</v>
      </c>
      <c r="G975" t="s">
        <v>17</v>
      </c>
      <c r="H975" t="s">
        <v>43</v>
      </c>
      <c r="I975" t="s">
        <v>75</v>
      </c>
      <c r="J975" t="s">
        <v>1760</v>
      </c>
      <c r="K975" s="9">
        <v>43598</v>
      </c>
      <c r="L975" s="10">
        <v>0.35972222222222222</v>
      </c>
      <c r="M975" t="s">
        <v>1761</v>
      </c>
      <c r="N975" t="s">
        <v>1762</v>
      </c>
      <c r="O975" t="s">
        <v>22</v>
      </c>
    </row>
    <row r="976" spans="1:15" hidden="1">
      <c r="A976" t="s">
        <v>15</v>
      </c>
      <c r="B976" t="str">
        <f>"FES1162688684"</f>
        <v>FES1162688684</v>
      </c>
      <c r="C976" s="9">
        <v>43594</v>
      </c>
      <c r="D976">
        <v>1</v>
      </c>
      <c r="E976">
        <v>2170681267</v>
      </c>
      <c r="F976" t="s">
        <v>16</v>
      </c>
      <c r="G976" t="s">
        <v>17</v>
      </c>
      <c r="H976" t="s">
        <v>43</v>
      </c>
      <c r="I976" t="s">
        <v>44</v>
      </c>
      <c r="J976" t="s">
        <v>48</v>
      </c>
      <c r="K976" s="9">
        <v>43595</v>
      </c>
      <c r="L976" s="10">
        <v>0.41666666666666669</v>
      </c>
      <c r="M976" t="s">
        <v>1763</v>
      </c>
      <c r="N976" t="s">
        <v>1764</v>
      </c>
      <c r="O976" t="s">
        <v>22</v>
      </c>
    </row>
    <row r="977" spans="1:15" hidden="1">
      <c r="A977" t="s">
        <v>15</v>
      </c>
      <c r="B977" t="str">
        <f>"FES1162688638"</f>
        <v>FES1162688638</v>
      </c>
      <c r="C977" s="9">
        <v>43594</v>
      </c>
      <c r="D977">
        <v>1</v>
      </c>
      <c r="E977">
        <v>2170687409</v>
      </c>
      <c r="F977" t="s">
        <v>16</v>
      </c>
      <c r="G977" t="s">
        <v>17</v>
      </c>
      <c r="H977" t="s">
        <v>43</v>
      </c>
      <c r="I977" t="s">
        <v>44</v>
      </c>
      <c r="J977" t="s">
        <v>860</v>
      </c>
      <c r="K977" s="9">
        <v>43598</v>
      </c>
      <c r="L977" s="10">
        <v>0.35000000000000003</v>
      </c>
      <c r="M977" t="s">
        <v>1275</v>
      </c>
      <c r="N977" t="s">
        <v>1765</v>
      </c>
      <c r="O977" t="s">
        <v>22</v>
      </c>
    </row>
    <row r="978" spans="1:15" hidden="1">
      <c r="A978" t="s">
        <v>15</v>
      </c>
      <c r="B978" t="str">
        <f>"FES1162688701"</f>
        <v>FES1162688701</v>
      </c>
      <c r="C978" s="9">
        <v>43594</v>
      </c>
      <c r="D978">
        <v>1</v>
      </c>
      <c r="E978">
        <v>2170683432</v>
      </c>
      <c r="F978" t="s">
        <v>16</v>
      </c>
      <c r="G978" t="s">
        <v>17</v>
      </c>
      <c r="H978" t="s">
        <v>43</v>
      </c>
      <c r="I978" t="s">
        <v>75</v>
      </c>
      <c r="J978" t="s">
        <v>222</v>
      </c>
      <c r="K978" s="9">
        <v>43598</v>
      </c>
      <c r="L978" s="10">
        <v>0.47569444444444442</v>
      </c>
      <c r="M978" t="s">
        <v>223</v>
      </c>
      <c r="N978" t="s">
        <v>1766</v>
      </c>
      <c r="O978" t="s">
        <v>22</v>
      </c>
    </row>
    <row r="979" spans="1:15" hidden="1">
      <c r="A979" t="s">
        <v>15</v>
      </c>
      <c r="B979" t="str">
        <f>"FES1162688703"</f>
        <v>FES1162688703</v>
      </c>
      <c r="C979" s="9">
        <v>43594</v>
      </c>
      <c r="D979">
        <v>1</v>
      </c>
      <c r="E979">
        <v>2170683575</v>
      </c>
      <c r="F979" t="s">
        <v>16</v>
      </c>
      <c r="G979" t="s">
        <v>17</v>
      </c>
      <c r="H979" t="s">
        <v>43</v>
      </c>
      <c r="I979" t="s">
        <v>44</v>
      </c>
      <c r="J979" t="s">
        <v>336</v>
      </c>
      <c r="K979" s="9">
        <v>43598</v>
      </c>
      <c r="L979" s="10">
        <v>0.3833333333333333</v>
      </c>
      <c r="M979" t="s">
        <v>1502</v>
      </c>
      <c r="N979" t="s">
        <v>1767</v>
      </c>
      <c r="O979" t="s">
        <v>22</v>
      </c>
    </row>
    <row r="980" spans="1:15" hidden="1">
      <c r="A980" t="s">
        <v>15</v>
      </c>
      <c r="B980" t="str">
        <f>"FES1162688854"</f>
        <v>FES1162688854</v>
      </c>
      <c r="C980" s="9">
        <v>43594</v>
      </c>
      <c r="D980">
        <v>1</v>
      </c>
      <c r="E980">
        <v>2170685840</v>
      </c>
      <c r="F980" t="s">
        <v>16</v>
      </c>
      <c r="G980" t="s">
        <v>17</v>
      </c>
      <c r="H980" t="s">
        <v>32</v>
      </c>
      <c r="I980" t="s">
        <v>33</v>
      </c>
      <c r="J980" t="s">
        <v>360</v>
      </c>
      <c r="K980" s="9">
        <v>43595</v>
      </c>
      <c r="L980" s="10">
        <v>0.35972222222222222</v>
      </c>
      <c r="M980" t="s">
        <v>1727</v>
      </c>
      <c r="N980" t="s">
        <v>1768</v>
      </c>
      <c r="O980" t="s">
        <v>22</v>
      </c>
    </row>
    <row r="981" spans="1:15" hidden="1">
      <c r="A981" t="s">
        <v>15</v>
      </c>
      <c r="B981" t="str">
        <f>"FES1162688983"</f>
        <v>FES1162688983</v>
      </c>
      <c r="C981" s="9">
        <v>43594</v>
      </c>
      <c r="D981">
        <v>1</v>
      </c>
      <c r="E981">
        <v>2170687573</v>
      </c>
      <c r="F981" t="s">
        <v>16</v>
      </c>
      <c r="G981" t="s">
        <v>17</v>
      </c>
      <c r="H981" t="s">
        <v>32</v>
      </c>
      <c r="I981" t="s">
        <v>33</v>
      </c>
      <c r="J981" t="s">
        <v>357</v>
      </c>
      <c r="K981" s="9">
        <v>43595</v>
      </c>
      <c r="L981" s="10">
        <v>0.42708333333333331</v>
      </c>
      <c r="M981" t="s">
        <v>1051</v>
      </c>
      <c r="N981" t="s">
        <v>1769</v>
      </c>
      <c r="O981" t="s">
        <v>22</v>
      </c>
    </row>
    <row r="982" spans="1:15" hidden="1">
      <c r="A982" t="s">
        <v>15</v>
      </c>
      <c r="B982" t="str">
        <f>"FES1162688704"</f>
        <v>FES1162688704</v>
      </c>
      <c r="C982" s="9">
        <v>43594</v>
      </c>
      <c r="D982">
        <v>1</v>
      </c>
      <c r="E982">
        <v>2170683580</v>
      </c>
      <c r="F982" t="s">
        <v>16</v>
      </c>
      <c r="G982" t="s">
        <v>17</v>
      </c>
      <c r="H982" t="s">
        <v>32</v>
      </c>
      <c r="I982" t="s">
        <v>33</v>
      </c>
      <c r="J982" t="s">
        <v>546</v>
      </c>
      <c r="K982" s="9">
        <v>43595</v>
      </c>
      <c r="L982" s="10">
        <v>0.39583333333333331</v>
      </c>
      <c r="M982" t="s">
        <v>547</v>
      </c>
      <c r="N982" t="s">
        <v>1770</v>
      </c>
      <c r="O982" t="s">
        <v>22</v>
      </c>
    </row>
    <row r="983" spans="1:15" hidden="1">
      <c r="A983" t="s">
        <v>15</v>
      </c>
      <c r="B983" t="str">
        <f>"FES1162688883"</f>
        <v>FES1162688883</v>
      </c>
      <c r="C983" s="9">
        <v>43594</v>
      </c>
      <c r="D983">
        <v>1</v>
      </c>
      <c r="E983">
        <v>2170686145</v>
      </c>
      <c r="F983" t="s">
        <v>16</v>
      </c>
      <c r="G983" t="s">
        <v>17</v>
      </c>
      <c r="H983" t="s">
        <v>37</v>
      </c>
      <c r="I983" t="s">
        <v>38</v>
      </c>
      <c r="J983" t="s">
        <v>1771</v>
      </c>
      <c r="K983" s="9">
        <v>43595</v>
      </c>
      <c r="L983" s="10">
        <v>0.41666666666666669</v>
      </c>
      <c r="M983" t="s">
        <v>1772</v>
      </c>
      <c r="N983" t="s">
        <v>1773</v>
      </c>
      <c r="O983" t="s">
        <v>22</v>
      </c>
    </row>
    <row r="984" spans="1:15" hidden="1">
      <c r="A984" t="s">
        <v>15</v>
      </c>
      <c r="B984" t="str">
        <f>"FES1162688763"</f>
        <v>FES1162688763</v>
      </c>
      <c r="C984" s="9">
        <v>43594</v>
      </c>
      <c r="D984">
        <v>1</v>
      </c>
      <c r="E984">
        <v>2170687489</v>
      </c>
      <c r="F984" t="s">
        <v>16</v>
      </c>
      <c r="G984" t="s">
        <v>17</v>
      </c>
      <c r="H984" t="s">
        <v>32</v>
      </c>
      <c r="I984" t="s">
        <v>33</v>
      </c>
      <c r="J984" t="s">
        <v>1774</v>
      </c>
      <c r="K984" s="9">
        <v>43595</v>
      </c>
      <c r="L984" s="10">
        <v>0.40972222222222227</v>
      </c>
      <c r="M984" t="s">
        <v>1775</v>
      </c>
      <c r="N984" t="s">
        <v>1776</v>
      </c>
      <c r="O984" t="s">
        <v>22</v>
      </c>
    </row>
    <row r="985" spans="1:15" hidden="1">
      <c r="A985" t="s">
        <v>15</v>
      </c>
      <c r="B985" t="str">
        <f>"FES1162689014"</f>
        <v>FES1162689014</v>
      </c>
      <c r="C985" s="9">
        <v>43594</v>
      </c>
      <c r="D985">
        <v>1</v>
      </c>
      <c r="E985">
        <v>2170687610</v>
      </c>
      <c r="F985" t="s">
        <v>16</v>
      </c>
      <c r="G985" t="s">
        <v>17</v>
      </c>
      <c r="H985" t="s">
        <v>37</v>
      </c>
      <c r="I985" t="s">
        <v>38</v>
      </c>
      <c r="J985" t="s">
        <v>1777</v>
      </c>
      <c r="K985" s="9">
        <v>43595</v>
      </c>
      <c r="L985" s="10">
        <v>0.37291666666666662</v>
      </c>
      <c r="M985" t="s">
        <v>1778</v>
      </c>
      <c r="N985" t="s">
        <v>1779</v>
      </c>
      <c r="O985" t="s">
        <v>22</v>
      </c>
    </row>
    <row r="986" spans="1:15" hidden="1">
      <c r="A986" t="s">
        <v>15</v>
      </c>
      <c r="B986" t="str">
        <f>"FES1162688685"</f>
        <v>FES1162688685</v>
      </c>
      <c r="C986" s="9">
        <v>43594</v>
      </c>
      <c r="D986">
        <v>1</v>
      </c>
      <c r="E986">
        <v>2170681576</v>
      </c>
      <c r="F986" t="s">
        <v>16</v>
      </c>
      <c r="G986" t="s">
        <v>17</v>
      </c>
      <c r="H986" t="s">
        <v>32</v>
      </c>
      <c r="I986" t="s">
        <v>33</v>
      </c>
      <c r="J986" t="s">
        <v>34</v>
      </c>
      <c r="K986" s="9">
        <v>43595</v>
      </c>
      <c r="L986" s="10">
        <v>0.34722222222222227</v>
      </c>
      <c r="M986" t="s">
        <v>35</v>
      </c>
      <c r="N986" t="s">
        <v>1780</v>
      </c>
      <c r="O986" t="s">
        <v>22</v>
      </c>
    </row>
    <row r="987" spans="1:15" hidden="1">
      <c r="A987" t="s">
        <v>15</v>
      </c>
      <c r="B987" t="str">
        <f>"FES1162688728"</f>
        <v>FES1162688728</v>
      </c>
      <c r="C987" s="9">
        <v>43594</v>
      </c>
      <c r="D987">
        <v>1</v>
      </c>
      <c r="E987">
        <v>217686225</v>
      </c>
      <c r="F987" t="s">
        <v>16</v>
      </c>
      <c r="G987" t="s">
        <v>17</v>
      </c>
      <c r="H987" t="s">
        <v>37</v>
      </c>
      <c r="I987" t="s">
        <v>38</v>
      </c>
      <c r="J987" t="s">
        <v>39</v>
      </c>
      <c r="K987" s="9">
        <v>43595</v>
      </c>
      <c r="L987" s="10">
        <v>0.36736111111111108</v>
      </c>
      <c r="M987" t="s">
        <v>1740</v>
      </c>
      <c r="N987" t="s">
        <v>1781</v>
      </c>
      <c r="O987" t="s">
        <v>22</v>
      </c>
    </row>
    <row r="988" spans="1:15" hidden="1">
      <c r="A988" t="s">
        <v>15</v>
      </c>
      <c r="B988" t="str">
        <f>"FES1162688768"</f>
        <v>FES1162688768</v>
      </c>
      <c r="C988" s="9">
        <v>43594</v>
      </c>
      <c r="D988">
        <v>1</v>
      </c>
      <c r="E988">
        <v>2170680258</v>
      </c>
      <c r="F988" t="s">
        <v>16</v>
      </c>
      <c r="G988" t="s">
        <v>17</v>
      </c>
      <c r="H988" t="s">
        <v>32</v>
      </c>
      <c r="I988" t="s">
        <v>33</v>
      </c>
      <c r="J988" t="s">
        <v>34</v>
      </c>
      <c r="K988" s="9">
        <v>43595</v>
      </c>
      <c r="L988" s="10">
        <v>0.34722222222222227</v>
      </c>
      <c r="M988" t="s">
        <v>35</v>
      </c>
      <c r="N988" t="s">
        <v>1782</v>
      </c>
      <c r="O988" t="s">
        <v>22</v>
      </c>
    </row>
    <row r="989" spans="1:15" hidden="1">
      <c r="A989" t="s">
        <v>15</v>
      </c>
      <c r="B989" t="str">
        <f>"FES1162688681"</f>
        <v>FES1162688681</v>
      </c>
      <c r="C989" s="9">
        <v>43594</v>
      </c>
      <c r="D989">
        <v>1</v>
      </c>
      <c r="E989">
        <v>2170680552</v>
      </c>
      <c r="F989" t="s">
        <v>16</v>
      </c>
      <c r="G989" t="s">
        <v>17</v>
      </c>
      <c r="H989" t="s">
        <v>32</v>
      </c>
      <c r="I989" t="s">
        <v>33</v>
      </c>
      <c r="J989" t="s">
        <v>34</v>
      </c>
      <c r="K989" s="9">
        <v>43595</v>
      </c>
      <c r="L989" s="10">
        <v>0.34722222222222227</v>
      </c>
      <c r="M989" t="s">
        <v>35</v>
      </c>
      <c r="N989" t="s">
        <v>1783</v>
      </c>
      <c r="O989" t="s">
        <v>22</v>
      </c>
    </row>
    <row r="990" spans="1:15" hidden="1">
      <c r="A990" t="s">
        <v>15</v>
      </c>
      <c r="B990" t="str">
        <f>"FES1162688775"</f>
        <v>FES1162688775</v>
      </c>
      <c r="C990" s="9">
        <v>43594</v>
      </c>
      <c r="D990">
        <v>1</v>
      </c>
      <c r="E990">
        <v>2170686260</v>
      </c>
      <c r="F990" t="s">
        <v>16</v>
      </c>
      <c r="G990" t="s">
        <v>17</v>
      </c>
      <c r="H990" t="s">
        <v>32</v>
      </c>
      <c r="I990" t="s">
        <v>33</v>
      </c>
      <c r="J990" t="s">
        <v>360</v>
      </c>
      <c r="K990" s="9">
        <v>43595</v>
      </c>
      <c r="L990" s="10">
        <v>0.35972222222222222</v>
      </c>
      <c r="M990" t="s">
        <v>1727</v>
      </c>
      <c r="N990" t="s">
        <v>1784</v>
      </c>
      <c r="O990" t="s">
        <v>22</v>
      </c>
    </row>
    <row r="991" spans="1:15" hidden="1">
      <c r="A991" t="s">
        <v>15</v>
      </c>
      <c r="B991" t="str">
        <f>"FES1162689009"</f>
        <v>FES1162689009</v>
      </c>
      <c r="C991" s="9">
        <v>43594</v>
      </c>
      <c r="D991">
        <v>1</v>
      </c>
      <c r="E991">
        <v>2170687605</v>
      </c>
      <c r="F991" t="s">
        <v>16</v>
      </c>
      <c r="G991" t="s">
        <v>17</v>
      </c>
      <c r="H991" t="s">
        <v>32</v>
      </c>
      <c r="I991" t="s">
        <v>33</v>
      </c>
      <c r="J991" t="s">
        <v>360</v>
      </c>
      <c r="K991" s="9">
        <v>43595</v>
      </c>
      <c r="L991" s="10">
        <v>0.35972222222222222</v>
      </c>
      <c r="M991" t="s">
        <v>1727</v>
      </c>
      <c r="N991" t="s">
        <v>1785</v>
      </c>
      <c r="O991" t="s">
        <v>22</v>
      </c>
    </row>
    <row r="992" spans="1:15" hidden="1">
      <c r="A992" t="s">
        <v>15</v>
      </c>
      <c r="B992" t="str">
        <f>"FES1162688716"</f>
        <v>FES1162688716</v>
      </c>
      <c r="C992" s="9">
        <v>43594</v>
      </c>
      <c r="D992">
        <v>1</v>
      </c>
      <c r="E992">
        <v>2170685163</v>
      </c>
      <c r="F992" t="s">
        <v>16</v>
      </c>
      <c r="G992" t="s">
        <v>17</v>
      </c>
      <c r="H992" t="s">
        <v>32</v>
      </c>
      <c r="I992" t="s">
        <v>33</v>
      </c>
      <c r="J992" t="s">
        <v>34</v>
      </c>
      <c r="K992" s="9">
        <v>43595</v>
      </c>
      <c r="L992" s="10">
        <v>0.34722222222222227</v>
      </c>
      <c r="M992" t="s">
        <v>35</v>
      </c>
      <c r="N992" t="s">
        <v>1786</v>
      </c>
      <c r="O992" t="s">
        <v>22</v>
      </c>
    </row>
    <row r="993" spans="1:15" hidden="1">
      <c r="A993" t="s">
        <v>15</v>
      </c>
      <c r="B993" t="str">
        <f>"FES1162688916"</f>
        <v>FES1162688916</v>
      </c>
      <c r="C993" s="9">
        <v>43594</v>
      </c>
      <c r="D993">
        <v>1</v>
      </c>
      <c r="E993">
        <v>217687512</v>
      </c>
      <c r="F993" t="s">
        <v>16</v>
      </c>
      <c r="G993" t="s">
        <v>17</v>
      </c>
      <c r="H993" t="s">
        <v>37</v>
      </c>
      <c r="I993" t="s">
        <v>38</v>
      </c>
      <c r="J993" t="s">
        <v>387</v>
      </c>
      <c r="K993" s="9">
        <v>43595</v>
      </c>
      <c r="L993" s="10">
        <v>0.40902777777777777</v>
      </c>
      <c r="M993" t="s">
        <v>1787</v>
      </c>
      <c r="N993" t="s">
        <v>1788</v>
      </c>
      <c r="O993" t="s">
        <v>22</v>
      </c>
    </row>
    <row r="994" spans="1:15" hidden="1">
      <c r="A994" t="s">
        <v>15</v>
      </c>
      <c r="B994" t="str">
        <f>"FES1162688649"</f>
        <v>FES1162688649</v>
      </c>
      <c r="C994" s="9">
        <v>43594</v>
      </c>
      <c r="D994">
        <v>1</v>
      </c>
      <c r="E994">
        <v>2170684959</v>
      </c>
      <c r="F994" t="s">
        <v>16</v>
      </c>
      <c r="G994" t="s">
        <v>17</v>
      </c>
      <c r="H994" t="s">
        <v>43</v>
      </c>
      <c r="I994" t="s">
        <v>44</v>
      </c>
      <c r="J994" t="s">
        <v>207</v>
      </c>
      <c r="K994" s="9">
        <v>43598</v>
      </c>
      <c r="L994" s="10">
        <v>0.41666666666666669</v>
      </c>
      <c r="M994" t="s">
        <v>1789</v>
      </c>
      <c r="N994" t="s">
        <v>1790</v>
      </c>
      <c r="O994" t="s">
        <v>22</v>
      </c>
    </row>
    <row r="995" spans="1:15" hidden="1">
      <c r="A995" t="s">
        <v>15</v>
      </c>
      <c r="B995" t="str">
        <f>"FES1162688796"</f>
        <v>FES1162688796</v>
      </c>
      <c r="C995" s="9">
        <v>43594</v>
      </c>
      <c r="D995">
        <v>1</v>
      </c>
      <c r="E995">
        <v>2172682576</v>
      </c>
      <c r="F995" t="s">
        <v>16</v>
      </c>
      <c r="G995" t="s">
        <v>17</v>
      </c>
      <c r="H995" t="s">
        <v>32</v>
      </c>
      <c r="I995" t="s">
        <v>33</v>
      </c>
      <c r="J995" t="s">
        <v>34</v>
      </c>
      <c r="K995" s="9">
        <v>43595</v>
      </c>
      <c r="L995" s="10">
        <v>0.34722222222222227</v>
      </c>
      <c r="M995" t="s">
        <v>35</v>
      </c>
      <c r="N995" t="s">
        <v>1791</v>
      </c>
      <c r="O995" t="s">
        <v>22</v>
      </c>
    </row>
    <row r="996" spans="1:15">
      <c r="A996" s="6" t="s">
        <v>15</v>
      </c>
      <c r="B996" s="6" t="str">
        <f>"FES1162688712"</f>
        <v>FES1162688712</v>
      </c>
      <c r="C996" s="7">
        <v>43594</v>
      </c>
      <c r="D996" s="6">
        <v>1</v>
      </c>
      <c r="E996" s="6">
        <v>2170684544</v>
      </c>
      <c r="F996" s="6" t="s">
        <v>16</v>
      </c>
      <c r="G996" s="6" t="s">
        <v>17</v>
      </c>
      <c r="H996" s="6" t="s">
        <v>17</v>
      </c>
      <c r="I996" s="6" t="s">
        <v>64</v>
      </c>
      <c r="J996" s="6" t="s">
        <v>817</v>
      </c>
      <c r="K996" s="7">
        <v>43595</v>
      </c>
      <c r="L996" s="8">
        <v>0.42499999999999999</v>
      </c>
      <c r="M996" s="6" t="s">
        <v>1792</v>
      </c>
      <c r="N996" s="6" t="s">
        <v>21</v>
      </c>
      <c r="O996" s="6" t="s">
        <v>22</v>
      </c>
    </row>
    <row r="997" spans="1:15" hidden="1">
      <c r="A997" t="s">
        <v>15</v>
      </c>
      <c r="B997" t="str">
        <f>"FES1162688365"</f>
        <v>FES1162688365</v>
      </c>
      <c r="C997" s="9">
        <v>43594</v>
      </c>
      <c r="D997">
        <v>1</v>
      </c>
      <c r="E997">
        <v>2170683562</v>
      </c>
      <c r="F997" t="s">
        <v>16</v>
      </c>
      <c r="G997" t="s">
        <v>17</v>
      </c>
      <c r="H997" t="s">
        <v>43</v>
      </c>
      <c r="I997" t="s">
        <v>44</v>
      </c>
      <c r="J997" t="s">
        <v>236</v>
      </c>
      <c r="K997" s="9">
        <v>43598</v>
      </c>
      <c r="L997" s="10">
        <v>0.41666666666666669</v>
      </c>
      <c r="M997" t="s">
        <v>1793</v>
      </c>
      <c r="N997" t="s">
        <v>1794</v>
      </c>
      <c r="O997" t="s">
        <v>22</v>
      </c>
    </row>
    <row r="998" spans="1:15" hidden="1">
      <c r="A998" t="s">
        <v>15</v>
      </c>
      <c r="B998" t="str">
        <f>"FES1162688948"</f>
        <v>FES1162688948</v>
      </c>
      <c r="C998" s="9">
        <v>43594</v>
      </c>
      <c r="D998">
        <v>2</v>
      </c>
      <c r="E998">
        <v>2170682358</v>
      </c>
      <c r="F998" t="s">
        <v>58</v>
      </c>
      <c r="G998" t="s">
        <v>59</v>
      </c>
      <c r="H998" t="s">
        <v>1507</v>
      </c>
      <c r="I998" t="s">
        <v>26</v>
      </c>
      <c r="J998" t="s">
        <v>1795</v>
      </c>
      <c r="K998" s="9">
        <v>43595</v>
      </c>
      <c r="L998" s="10">
        <v>0.33333333333333331</v>
      </c>
      <c r="M998" t="s">
        <v>1796</v>
      </c>
      <c r="N998" t="s">
        <v>1797</v>
      </c>
      <c r="O998" t="s">
        <v>494</v>
      </c>
    </row>
    <row r="999" spans="1:15" hidden="1">
      <c r="A999" t="s">
        <v>15</v>
      </c>
      <c r="B999" t="str">
        <f>"FES1162688723"</f>
        <v>FES1162688723</v>
      </c>
      <c r="C999" s="9">
        <v>43594</v>
      </c>
      <c r="D999">
        <v>1</v>
      </c>
      <c r="E999">
        <v>2170685876</v>
      </c>
      <c r="F999" t="s">
        <v>16</v>
      </c>
      <c r="G999" t="s">
        <v>17</v>
      </c>
      <c r="H999" t="s">
        <v>32</v>
      </c>
      <c r="I999" t="s">
        <v>33</v>
      </c>
      <c r="J999" t="s">
        <v>34</v>
      </c>
      <c r="K999" s="9">
        <v>43595</v>
      </c>
      <c r="L999" s="10">
        <v>0.34722222222222227</v>
      </c>
      <c r="M999" t="s">
        <v>35</v>
      </c>
      <c r="N999" t="s">
        <v>1798</v>
      </c>
      <c r="O999" t="s">
        <v>22</v>
      </c>
    </row>
    <row r="1000" spans="1:15" hidden="1">
      <c r="A1000" t="s">
        <v>15</v>
      </c>
      <c r="B1000" t="str">
        <f>"FES1162688949"</f>
        <v>FES1162688949</v>
      </c>
      <c r="C1000" s="9">
        <v>43594</v>
      </c>
      <c r="D1000">
        <v>1</v>
      </c>
      <c r="E1000">
        <v>2170683643</v>
      </c>
      <c r="F1000" t="s">
        <v>16</v>
      </c>
      <c r="G1000" t="s">
        <v>17</v>
      </c>
      <c r="H1000" t="s">
        <v>32</v>
      </c>
      <c r="I1000" t="s">
        <v>33</v>
      </c>
      <c r="J1000" t="s">
        <v>34</v>
      </c>
      <c r="K1000" s="9">
        <v>43595</v>
      </c>
      <c r="L1000" s="10">
        <v>0.34722222222222227</v>
      </c>
      <c r="M1000" t="s">
        <v>35</v>
      </c>
      <c r="N1000" t="s">
        <v>1799</v>
      </c>
      <c r="O1000" t="s">
        <v>22</v>
      </c>
    </row>
    <row r="1001" spans="1:15" hidden="1">
      <c r="A1001" t="s">
        <v>15</v>
      </c>
      <c r="B1001" t="str">
        <f>"FES1162688823"</f>
        <v>FES1162688823</v>
      </c>
      <c r="C1001" s="9">
        <v>43594</v>
      </c>
      <c r="D1001">
        <v>1</v>
      </c>
      <c r="E1001">
        <v>2170685575</v>
      </c>
      <c r="F1001" t="s">
        <v>16</v>
      </c>
      <c r="G1001" t="s">
        <v>17</v>
      </c>
      <c r="H1001" t="s">
        <v>43</v>
      </c>
      <c r="I1001" t="s">
        <v>60</v>
      </c>
      <c r="J1001" t="s">
        <v>1800</v>
      </c>
      <c r="K1001" s="9">
        <v>43598</v>
      </c>
      <c r="L1001" s="10">
        <v>0.41666666666666669</v>
      </c>
      <c r="M1001" t="s">
        <v>1801</v>
      </c>
      <c r="N1001" t="s">
        <v>1802</v>
      </c>
      <c r="O1001" t="s">
        <v>22</v>
      </c>
    </row>
    <row r="1002" spans="1:15" hidden="1">
      <c r="A1002" t="s">
        <v>15</v>
      </c>
      <c r="B1002" t="str">
        <f>"FES1162688928"</f>
        <v>FES1162688928</v>
      </c>
      <c r="C1002" s="9">
        <v>43594</v>
      </c>
      <c r="D1002">
        <v>1</v>
      </c>
      <c r="E1002">
        <v>2170687528</v>
      </c>
      <c r="F1002" t="s">
        <v>16</v>
      </c>
      <c r="G1002" t="s">
        <v>17</v>
      </c>
      <c r="H1002" t="s">
        <v>43</v>
      </c>
      <c r="I1002" t="s">
        <v>75</v>
      </c>
      <c r="J1002" t="s">
        <v>222</v>
      </c>
      <c r="K1002" s="9">
        <v>43600</v>
      </c>
      <c r="L1002" s="10">
        <v>0.4375</v>
      </c>
      <c r="M1002" t="s">
        <v>1803</v>
      </c>
      <c r="N1002" t="s">
        <v>1804</v>
      </c>
      <c r="O1002" t="s">
        <v>22</v>
      </c>
    </row>
    <row r="1003" spans="1:15" hidden="1">
      <c r="A1003" t="s">
        <v>15</v>
      </c>
      <c r="B1003" t="str">
        <f>"FES1162688895"</f>
        <v>FES1162688895</v>
      </c>
      <c r="C1003" s="9">
        <v>43594</v>
      </c>
      <c r="D1003">
        <v>1</v>
      </c>
      <c r="E1003">
        <v>2170686309</v>
      </c>
      <c r="F1003" t="s">
        <v>16</v>
      </c>
      <c r="G1003" t="s">
        <v>17</v>
      </c>
      <c r="H1003" t="s">
        <v>141</v>
      </c>
      <c r="I1003" t="s">
        <v>142</v>
      </c>
      <c r="J1003" t="s">
        <v>213</v>
      </c>
      <c r="K1003" s="9">
        <v>43595</v>
      </c>
      <c r="L1003" s="10">
        <v>0.39027777777777778</v>
      </c>
      <c r="M1003" t="s">
        <v>214</v>
      </c>
      <c r="N1003" t="s">
        <v>1805</v>
      </c>
      <c r="O1003" t="s">
        <v>22</v>
      </c>
    </row>
    <row r="1004" spans="1:15" hidden="1">
      <c r="A1004" t="s">
        <v>15</v>
      </c>
      <c r="B1004" t="str">
        <f>"FES1162688416"</f>
        <v>FES1162688416</v>
      </c>
      <c r="C1004" s="9">
        <v>43594</v>
      </c>
      <c r="D1004">
        <v>1</v>
      </c>
      <c r="E1004">
        <v>2170687180</v>
      </c>
      <c r="F1004" t="s">
        <v>16</v>
      </c>
      <c r="G1004" t="s">
        <v>17</v>
      </c>
      <c r="H1004" t="s">
        <v>132</v>
      </c>
      <c r="I1004" t="s">
        <v>1806</v>
      </c>
      <c r="J1004" t="s">
        <v>1807</v>
      </c>
      <c r="K1004" s="9">
        <v>43595</v>
      </c>
      <c r="L1004" s="10">
        <v>0.45833333333333331</v>
      </c>
      <c r="M1004" t="s">
        <v>1808</v>
      </c>
      <c r="N1004" t="s">
        <v>1809</v>
      </c>
      <c r="O1004" t="s">
        <v>22</v>
      </c>
    </row>
    <row r="1005" spans="1:15" hidden="1">
      <c r="A1005" t="s">
        <v>15</v>
      </c>
      <c r="B1005" t="str">
        <f>"FES1162688769"</f>
        <v>FES1162688769</v>
      </c>
      <c r="C1005" s="9">
        <v>43594</v>
      </c>
      <c r="D1005">
        <v>1</v>
      </c>
      <c r="E1005">
        <v>2170683593</v>
      </c>
      <c r="F1005" t="s">
        <v>16</v>
      </c>
      <c r="G1005" t="s">
        <v>17</v>
      </c>
      <c r="H1005" t="s">
        <v>43</v>
      </c>
      <c r="I1005" t="s">
        <v>1810</v>
      </c>
      <c r="J1005" t="s">
        <v>1811</v>
      </c>
      <c r="K1005" s="9">
        <v>43598</v>
      </c>
      <c r="L1005" s="10">
        <v>0.52222222222222225</v>
      </c>
      <c r="M1005" t="s">
        <v>1622</v>
      </c>
      <c r="N1005" t="s">
        <v>1812</v>
      </c>
      <c r="O1005" t="s">
        <v>22</v>
      </c>
    </row>
    <row r="1006" spans="1:15" hidden="1">
      <c r="A1006" t="s">
        <v>15</v>
      </c>
      <c r="B1006" t="str">
        <f>"FES1162688834"</f>
        <v>FES1162688834</v>
      </c>
      <c r="C1006" s="9">
        <v>43594</v>
      </c>
      <c r="D1006">
        <v>1</v>
      </c>
      <c r="E1006">
        <v>217685689</v>
      </c>
      <c r="F1006" t="s">
        <v>16</v>
      </c>
      <c r="G1006" t="s">
        <v>17</v>
      </c>
      <c r="H1006" t="s">
        <v>132</v>
      </c>
      <c r="I1006" t="s">
        <v>133</v>
      </c>
      <c r="J1006" t="s">
        <v>1813</v>
      </c>
      <c r="K1006" s="9">
        <v>43595</v>
      </c>
      <c r="L1006" s="10">
        <v>0.4201388888888889</v>
      </c>
      <c r="M1006" t="s">
        <v>1814</v>
      </c>
      <c r="N1006" t="s">
        <v>1815</v>
      </c>
      <c r="O1006" t="s">
        <v>22</v>
      </c>
    </row>
    <row r="1007" spans="1:15" hidden="1">
      <c r="A1007" t="s">
        <v>15</v>
      </c>
      <c r="B1007" t="str">
        <f>"FES1162688892"</f>
        <v>FES1162688892</v>
      </c>
      <c r="C1007" s="9">
        <v>43594</v>
      </c>
      <c r="D1007">
        <v>1</v>
      </c>
      <c r="E1007">
        <v>217686258</v>
      </c>
      <c r="F1007" t="s">
        <v>16</v>
      </c>
      <c r="G1007" t="s">
        <v>17</v>
      </c>
      <c r="H1007" t="s">
        <v>141</v>
      </c>
      <c r="I1007" t="s">
        <v>185</v>
      </c>
      <c r="J1007" t="s">
        <v>1816</v>
      </c>
      <c r="K1007" s="9">
        <v>43595</v>
      </c>
      <c r="L1007" s="10">
        <v>0.4236111111111111</v>
      </c>
      <c r="M1007" t="s">
        <v>1817</v>
      </c>
      <c r="N1007" t="s">
        <v>1818</v>
      </c>
      <c r="O1007" t="s">
        <v>22</v>
      </c>
    </row>
    <row r="1008" spans="1:15" hidden="1">
      <c r="A1008" t="s">
        <v>15</v>
      </c>
      <c r="B1008" t="str">
        <f>"FES1162688709"</f>
        <v>FES1162688709</v>
      </c>
      <c r="C1008" s="9">
        <v>43594</v>
      </c>
      <c r="D1008">
        <v>1</v>
      </c>
      <c r="E1008">
        <v>2170684292</v>
      </c>
      <c r="F1008" t="s">
        <v>16</v>
      </c>
      <c r="G1008" t="s">
        <v>17</v>
      </c>
      <c r="H1008" t="s">
        <v>141</v>
      </c>
      <c r="I1008" t="s">
        <v>142</v>
      </c>
      <c r="J1008" t="s">
        <v>1819</v>
      </c>
      <c r="K1008" s="9">
        <v>43595</v>
      </c>
      <c r="L1008" s="10">
        <v>0.38125000000000003</v>
      </c>
      <c r="M1008" t="s">
        <v>1820</v>
      </c>
      <c r="N1008" t="s">
        <v>1821</v>
      </c>
      <c r="O1008" t="s">
        <v>22</v>
      </c>
    </row>
    <row r="1009" spans="1:15" hidden="1">
      <c r="A1009" t="s">
        <v>15</v>
      </c>
      <c r="B1009" t="str">
        <f>"FES1162688875"</f>
        <v>FES1162688875</v>
      </c>
      <c r="C1009" s="9">
        <v>43594</v>
      </c>
      <c r="D1009">
        <v>1</v>
      </c>
      <c r="E1009">
        <v>2170686084</v>
      </c>
      <c r="F1009" t="s">
        <v>16</v>
      </c>
      <c r="G1009" t="s">
        <v>17</v>
      </c>
      <c r="H1009" t="s">
        <v>141</v>
      </c>
      <c r="I1009" t="s">
        <v>185</v>
      </c>
      <c r="J1009" t="s">
        <v>503</v>
      </c>
      <c r="K1009" s="9">
        <v>43595</v>
      </c>
      <c r="L1009" s="10">
        <v>0.3972222222222222</v>
      </c>
      <c r="M1009" t="s">
        <v>1355</v>
      </c>
      <c r="N1009" t="s">
        <v>1822</v>
      </c>
      <c r="O1009" t="s">
        <v>22</v>
      </c>
    </row>
    <row r="1010" spans="1:15" hidden="1">
      <c r="A1010" t="s">
        <v>15</v>
      </c>
      <c r="B1010" t="str">
        <f>"FES1162688816"</f>
        <v>FES1162688816</v>
      </c>
      <c r="C1010" s="9">
        <v>43594</v>
      </c>
      <c r="D1010">
        <v>1</v>
      </c>
      <c r="E1010">
        <v>2170685513</v>
      </c>
      <c r="F1010" t="s">
        <v>16</v>
      </c>
      <c r="G1010" t="s">
        <v>17</v>
      </c>
      <c r="H1010" t="s">
        <v>141</v>
      </c>
      <c r="I1010" t="s">
        <v>142</v>
      </c>
      <c r="J1010" t="s">
        <v>213</v>
      </c>
      <c r="K1010" s="9">
        <v>43595</v>
      </c>
      <c r="L1010" s="10">
        <v>0.39027777777777778</v>
      </c>
      <c r="M1010" t="s">
        <v>214</v>
      </c>
      <c r="N1010" t="s">
        <v>1823</v>
      </c>
      <c r="O1010" t="s">
        <v>22</v>
      </c>
    </row>
    <row r="1011" spans="1:15" hidden="1">
      <c r="A1011" t="s">
        <v>15</v>
      </c>
      <c r="B1011" t="str">
        <f>"FES1162688743"</f>
        <v>FES1162688743</v>
      </c>
      <c r="C1011" s="9">
        <v>43594</v>
      </c>
      <c r="D1011">
        <v>1</v>
      </c>
      <c r="E1011">
        <v>217687274</v>
      </c>
      <c r="F1011" t="s">
        <v>16</v>
      </c>
      <c r="G1011" t="s">
        <v>17</v>
      </c>
      <c r="H1011" t="s">
        <v>132</v>
      </c>
      <c r="I1011" t="s">
        <v>133</v>
      </c>
      <c r="J1011" t="s">
        <v>182</v>
      </c>
      <c r="K1011" s="9">
        <v>43595</v>
      </c>
      <c r="L1011" s="10">
        <v>0.40208333333333335</v>
      </c>
      <c r="M1011" t="s">
        <v>183</v>
      </c>
      <c r="N1011" t="s">
        <v>1824</v>
      </c>
      <c r="O1011" t="s">
        <v>22</v>
      </c>
    </row>
    <row r="1012" spans="1:15" hidden="1">
      <c r="A1012" t="s">
        <v>15</v>
      </c>
      <c r="B1012" t="str">
        <f>"FES1162688859"</f>
        <v>FES1162688859</v>
      </c>
      <c r="C1012" s="9">
        <v>43594</v>
      </c>
      <c r="D1012">
        <v>1</v>
      </c>
      <c r="E1012">
        <v>2170685880</v>
      </c>
      <c r="F1012" t="s">
        <v>16</v>
      </c>
      <c r="G1012" t="s">
        <v>17</v>
      </c>
      <c r="H1012" t="s">
        <v>132</v>
      </c>
      <c r="I1012" t="s">
        <v>133</v>
      </c>
      <c r="J1012" t="s">
        <v>1813</v>
      </c>
      <c r="K1012" s="9">
        <v>43595</v>
      </c>
      <c r="L1012" s="10">
        <v>0.4201388888888889</v>
      </c>
      <c r="M1012" t="s">
        <v>1814</v>
      </c>
      <c r="N1012" t="s">
        <v>1825</v>
      </c>
      <c r="O1012" t="s">
        <v>22</v>
      </c>
    </row>
    <row r="1013" spans="1:15" hidden="1">
      <c r="A1013" t="s">
        <v>15</v>
      </c>
      <c r="B1013" t="str">
        <f>"FES1162688779"</f>
        <v>FES1162688779</v>
      </c>
      <c r="C1013" s="9">
        <v>43594</v>
      </c>
      <c r="D1013">
        <v>2</v>
      </c>
      <c r="E1013">
        <v>2170686907</v>
      </c>
      <c r="F1013" t="s">
        <v>58</v>
      </c>
      <c r="G1013" t="s">
        <v>59</v>
      </c>
      <c r="H1013" t="s">
        <v>43</v>
      </c>
      <c r="I1013" t="s">
        <v>54</v>
      </c>
      <c r="J1013" t="s">
        <v>216</v>
      </c>
      <c r="K1013" s="9">
        <v>43595</v>
      </c>
      <c r="L1013" s="10">
        <v>0.41666666666666669</v>
      </c>
      <c r="M1013" t="s">
        <v>1443</v>
      </c>
      <c r="N1013" t="s">
        <v>1826</v>
      </c>
      <c r="O1013" t="s">
        <v>22</v>
      </c>
    </row>
    <row r="1014" spans="1:15" hidden="1">
      <c r="A1014" t="s">
        <v>15</v>
      </c>
      <c r="B1014" t="str">
        <f>"FES1162689020"</f>
        <v>FES1162689020</v>
      </c>
      <c r="C1014" s="9">
        <v>43594</v>
      </c>
      <c r="D1014">
        <v>1</v>
      </c>
      <c r="E1014">
        <v>2170680500</v>
      </c>
      <c r="F1014" t="s">
        <v>16</v>
      </c>
      <c r="G1014" t="s">
        <v>17</v>
      </c>
      <c r="H1014" t="s">
        <v>37</v>
      </c>
      <c r="I1014" t="s">
        <v>38</v>
      </c>
      <c r="J1014" t="s">
        <v>766</v>
      </c>
      <c r="K1014" s="9">
        <v>43595</v>
      </c>
      <c r="L1014" s="10">
        <v>0.36180555555555555</v>
      </c>
      <c r="M1014" t="s">
        <v>1827</v>
      </c>
      <c r="N1014" t="s">
        <v>1828</v>
      </c>
      <c r="O1014" t="s">
        <v>22</v>
      </c>
    </row>
    <row r="1015" spans="1:15" hidden="1">
      <c r="A1015" t="s">
        <v>15</v>
      </c>
      <c r="B1015" t="str">
        <f>"FES1162688836"</f>
        <v>FES1162688836</v>
      </c>
      <c r="C1015" s="9">
        <v>43594</v>
      </c>
      <c r="D1015">
        <v>1</v>
      </c>
      <c r="E1015">
        <v>2170685706</v>
      </c>
      <c r="F1015" t="s">
        <v>16</v>
      </c>
      <c r="G1015" t="s">
        <v>17</v>
      </c>
      <c r="H1015" t="s">
        <v>43</v>
      </c>
      <c r="I1015" t="s">
        <v>44</v>
      </c>
      <c r="J1015" t="s">
        <v>1829</v>
      </c>
      <c r="K1015" s="9">
        <v>43599</v>
      </c>
      <c r="L1015" s="10">
        <v>0.41666666666666669</v>
      </c>
      <c r="M1015" t="s">
        <v>1830</v>
      </c>
      <c r="N1015" t="s">
        <v>1831</v>
      </c>
      <c r="O1015" t="s">
        <v>22</v>
      </c>
    </row>
    <row r="1016" spans="1:15" hidden="1">
      <c r="A1016" t="s">
        <v>15</v>
      </c>
      <c r="B1016" t="str">
        <f>"FES1162688679"</f>
        <v>FES1162688679</v>
      </c>
      <c r="C1016" s="9">
        <v>43594</v>
      </c>
      <c r="D1016">
        <v>2</v>
      </c>
      <c r="E1016">
        <v>2170678537</v>
      </c>
      <c r="F1016" t="s">
        <v>58</v>
      </c>
      <c r="G1016" t="s">
        <v>59</v>
      </c>
      <c r="H1016" t="s">
        <v>32</v>
      </c>
      <c r="I1016" t="s">
        <v>33</v>
      </c>
      <c r="J1016" t="s">
        <v>1832</v>
      </c>
      <c r="K1016" s="9">
        <v>43595</v>
      </c>
      <c r="L1016" s="10">
        <v>0.4201388888888889</v>
      </c>
      <c r="M1016" t="s">
        <v>1833</v>
      </c>
      <c r="N1016" t="s">
        <v>1834</v>
      </c>
      <c r="O1016" t="s">
        <v>22</v>
      </c>
    </row>
    <row r="1017" spans="1:15" hidden="1">
      <c r="A1017" t="s">
        <v>15</v>
      </c>
      <c r="B1017" t="str">
        <f>"FES1162688647"</f>
        <v>FES1162688647</v>
      </c>
      <c r="C1017" s="9">
        <v>43594</v>
      </c>
      <c r="D1017">
        <v>2</v>
      </c>
      <c r="E1017">
        <v>2170687423</v>
      </c>
      <c r="F1017" t="s">
        <v>16</v>
      </c>
      <c r="G1017" t="s">
        <v>17</v>
      </c>
      <c r="H1017" t="s">
        <v>290</v>
      </c>
      <c r="I1017" t="s">
        <v>291</v>
      </c>
      <c r="J1017" t="s">
        <v>1835</v>
      </c>
      <c r="K1017" s="9">
        <v>43595</v>
      </c>
      <c r="L1017" s="10">
        <v>0.54861111111111105</v>
      </c>
      <c r="M1017" t="s">
        <v>481</v>
      </c>
      <c r="N1017" t="s">
        <v>1836</v>
      </c>
      <c r="O1017" t="s">
        <v>22</v>
      </c>
    </row>
    <row r="1018" spans="1:15" hidden="1">
      <c r="A1018" t="s">
        <v>15</v>
      </c>
      <c r="B1018" t="str">
        <f>"FES1162688629"</f>
        <v>FES1162688629</v>
      </c>
      <c r="C1018" s="9">
        <v>43594</v>
      </c>
      <c r="D1018">
        <v>1</v>
      </c>
      <c r="E1018">
        <v>2170687399</v>
      </c>
      <c r="F1018" t="s">
        <v>16</v>
      </c>
      <c r="G1018" t="s">
        <v>17</v>
      </c>
      <c r="H1018" t="s">
        <v>290</v>
      </c>
      <c r="I1018" t="s">
        <v>291</v>
      </c>
      <c r="J1018" t="s">
        <v>1030</v>
      </c>
      <c r="K1018" s="9">
        <v>43595</v>
      </c>
      <c r="L1018" s="10">
        <v>0.375</v>
      </c>
      <c r="M1018" t="s">
        <v>645</v>
      </c>
      <c r="N1018" t="s">
        <v>1837</v>
      </c>
      <c r="O1018" t="s">
        <v>22</v>
      </c>
    </row>
    <row r="1019" spans="1:15">
      <c r="A1019" s="6" t="s">
        <v>15</v>
      </c>
      <c r="B1019" s="6" t="str">
        <f>"FES1162688817"</f>
        <v>FES1162688817</v>
      </c>
      <c r="C1019" s="7">
        <v>43594</v>
      </c>
      <c r="D1019" s="6">
        <v>1</v>
      </c>
      <c r="E1019" s="6">
        <v>2170685522</v>
      </c>
      <c r="F1019" s="6" t="s">
        <v>16</v>
      </c>
      <c r="G1019" s="6" t="s">
        <v>17</v>
      </c>
      <c r="H1019" s="6" t="s">
        <v>17</v>
      </c>
      <c r="I1019" s="6" t="s">
        <v>29</v>
      </c>
      <c r="J1019" s="6" t="s">
        <v>30</v>
      </c>
      <c r="K1019" s="7">
        <v>43595</v>
      </c>
      <c r="L1019" s="8">
        <v>0.33333333333333331</v>
      </c>
      <c r="M1019" s="6" t="s">
        <v>31</v>
      </c>
      <c r="N1019" s="6" t="s">
        <v>21</v>
      </c>
      <c r="O1019" s="6" t="s">
        <v>22</v>
      </c>
    </row>
    <row r="1020" spans="1:15">
      <c r="A1020" s="6" t="s">
        <v>15</v>
      </c>
      <c r="B1020" s="6" t="str">
        <f>"FES1162688968"</f>
        <v>FES1162688968</v>
      </c>
      <c r="C1020" s="7">
        <v>43594</v>
      </c>
      <c r="D1020" s="6">
        <v>1</v>
      </c>
      <c r="E1020" s="6">
        <v>2170687542</v>
      </c>
      <c r="F1020" s="6" t="s">
        <v>16</v>
      </c>
      <c r="G1020" s="6" t="s">
        <v>17</v>
      </c>
      <c r="H1020" s="6" t="s">
        <v>17</v>
      </c>
      <c r="I1020" s="6" t="s">
        <v>18</v>
      </c>
      <c r="J1020" s="6" t="s">
        <v>19</v>
      </c>
      <c r="K1020" s="7">
        <v>43595</v>
      </c>
      <c r="L1020" s="8">
        <v>0.40833333333333338</v>
      </c>
      <c r="M1020" s="6" t="s">
        <v>1694</v>
      </c>
      <c r="N1020" s="6" t="s">
        <v>21</v>
      </c>
      <c r="O1020" s="6" t="s">
        <v>22</v>
      </c>
    </row>
    <row r="1021" spans="1:15">
      <c r="A1021" s="6" t="s">
        <v>15</v>
      </c>
      <c r="B1021" s="6" t="str">
        <f>"FES1162688868"</f>
        <v>FES1162688868</v>
      </c>
      <c r="C1021" s="7">
        <v>43594</v>
      </c>
      <c r="D1021" s="6">
        <v>1</v>
      </c>
      <c r="E1021" s="6">
        <v>2170685980</v>
      </c>
      <c r="F1021" s="6" t="s">
        <v>16</v>
      </c>
      <c r="G1021" s="6" t="s">
        <v>17</v>
      </c>
      <c r="H1021" s="6" t="s">
        <v>17</v>
      </c>
      <c r="I1021" s="6" t="s">
        <v>148</v>
      </c>
      <c r="J1021" s="6" t="s">
        <v>153</v>
      </c>
      <c r="K1021" s="7">
        <v>43595</v>
      </c>
      <c r="L1021" s="8">
        <v>0.43124999999999997</v>
      </c>
      <c r="M1021" s="6" t="s">
        <v>712</v>
      </c>
      <c r="N1021" s="6" t="s">
        <v>21</v>
      </c>
      <c r="O1021" s="6" t="s">
        <v>22</v>
      </c>
    </row>
    <row r="1022" spans="1:15">
      <c r="A1022" s="6" t="s">
        <v>15</v>
      </c>
      <c r="B1022" s="6" t="str">
        <f>"FES1162688756"</f>
        <v>FES1162688756</v>
      </c>
      <c r="C1022" s="7">
        <v>43594</v>
      </c>
      <c r="D1022" s="6">
        <v>1</v>
      </c>
      <c r="E1022" s="6">
        <v>2170687473</v>
      </c>
      <c r="F1022" s="6" t="s">
        <v>16</v>
      </c>
      <c r="G1022" s="6" t="s">
        <v>17</v>
      </c>
      <c r="H1022" s="6" t="s">
        <v>17</v>
      </c>
      <c r="I1022" s="6" t="s">
        <v>23</v>
      </c>
      <c r="J1022" s="6" t="s">
        <v>101</v>
      </c>
      <c r="K1022" s="7">
        <v>43595</v>
      </c>
      <c r="L1022" s="8">
        <v>0.42708333333333331</v>
      </c>
      <c r="M1022" s="6" t="s">
        <v>1838</v>
      </c>
      <c r="N1022" s="6" t="s">
        <v>21</v>
      </c>
      <c r="O1022" s="6" t="s">
        <v>22</v>
      </c>
    </row>
    <row r="1023" spans="1:15">
      <c r="A1023" s="6" t="s">
        <v>15</v>
      </c>
      <c r="B1023" s="6" t="str">
        <f>"FES1162688871"</f>
        <v>FES1162688871</v>
      </c>
      <c r="C1023" s="7">
        <v>43594</v>
      </c>
      <c r="D1023" s="6">
        <v>1</v>
      </c>
      <c r="E1023" s="6">
        <v>2170686023</v>
      </c>
      <c r="F1023" s="6" t="s">
        <v>16</v>
      </c>
      <c r="G1023" s="6" t="s">
        <v>17</v>
      </c>
      <c r="H1023" s="6" t="s">
        <v>17</v>
      </c>
      <c r="I1023" s="6" t="s">
        <v>29</v>
      </c>
      <c r="J1023" s="6" t="s">
        <v>109</v>
      </c>
      <c r="K1023" s="7">
        <v>43595</v>
      </c>
      <c r="L1023" s="8">
        <v>0.44305555555555554</v>
      </c>
      <c r="M1023" s="6" t="s">
        <v>109</v>
      </c>
      <c r="N1023" s="6" t="s">
        <v>21</v>
      </c>
      <c r="O1023" s="6" t="s">
        <v>22</v>
      </c>
    </row>
    <row r="1024" spans="1:15" hidden="1">
      <c r="A1024" t="s">
        <v>15</v>
      </c>
      <c r="B1024" t="str">
        <f>"FES1162689005"</f>
        <v>FES1162689005</v>
      </c>
      <c r="C1024" s="9">
        <v>43594</v>
      </c>
      <c r="D1024">
        <v>1</v>
      </c>
      <c r="E1024">
        <v>2170687599</v>
      </c>
      <c r="F1024" t="s">
        <v>16</v>
      </c>
      <c r="G1024" t="s">
        <v>17</v>
      </c>
      <c r="H1024" t="s">
        <v>37</v>
      </c>
      <c r="I1024" t="s">
        <v>38</v>
      </c>
      <c r="J1024" t="s">
        <v>39</v>
      </c>
      <c r="K1024" s="9">
        <v>43595</v>
      </c>
      <c r="L1024" s="10">
        <v>0.39583333333333331</v>
      </c>
      <c r="M1024" t="s">
        <v>40</v>
      </c>
      <c r="N1024" t="s">
        <v>1839</v>
      </c>
      <c r="O1024" t="s">
        <v>22</v>
      </c>
    </row>
    <row r="1025" spans="1:15">
      <c r="A1025" s="6" t="s">
        <v>15</v>
      </c>
      <c r="B1025" s="6" t="str">
        <f>"FES1162688940"</f>
        <v>FES1162688940</v>
      </c>
      <c r="C1025" s="7">
        <v>43594</v>
      </c>
      <c r="D1025" s="6">
        <v>1</v>
      </c>
      <c r="E1025" s="6">
        <v>217687540</v>
      </c>
      <c r="F1025" s="6" t="s">
        <v>16</v>
      </c>
      <c r="G1025" s="6" t="s">
        <v>17</v>
      </c>
      <c r="H1025" s="6" t="s">
        <v>17</v>
      </c>
      <c r="I1025" s="6" t="s">
        <v>18</v>
      </c>
      <c r="J1025" s="6" t="s">
        <v>19</v>
      </c>
      <c r="K1025" s="7">
        <v>43595</v>
      </c>
      <c r="L1025" s="8">
        <v>0.4069444444444445</v>
      </c>
      <c r="M1025" s="6" t="s">
        <v>100</v>
      </c>
      <c r="N1025" s="6" t="s">
        <v>21</v>
      </c>
      <c r="O1025" s="6" t="s">
        <v>22</v>
      </c>
    </row>
    <row r="1026" spans="1:15" hidden="1">
      <c r="A1026" t="s">
        <v>15</v>
      </c>
      <c r="B1026" t="str">
        <f>"FES1162688798"</f>
        <v>FES1162688798</v>
      </c>
      <c r="C1026" s="9">
        <v>43594</v>
      </c>
      <c r="D1026">
        <v>1</v>
      </c>
      <c r="E1026">
        <v>217068603020</v>
      </c>
      <c r="F1026" t="s">
        <v>16</v>
      </c>
      <c r="G1026" t="s">
        <v>17</v>
      </c>
      <c r="H1026" t="s">
        <v>32</v>
      </c>
      <c r="I1026" t="s">
        <v>33</v>
      </c>
      <c r="J1026" t="s">
        <v>284</v>
      </c>
      <c r="K1026" s="9">
        <v>43595</v>
      </c>
      <c r="L1026" s="10">
        <v>0.43541666666666662</v>
      </c>
      <c r="M1026" t="s">
        <v>1840</v>
      </c>
      <c r="N1026" t="s">
        <v>1841</v>
      </c>
      <c r="O1026" t="s">
        <v>22</v>
      </c>
    </row>
    <row r="1027" spans="1:15" hidden="1">
      <c r="A1027" t="s">
        <v>15</v>
      </c>
      <c r="B1027" t="str">
        <f>"FES1162688917"</f>
        <v>FES1162688917</v>
      </c>
      <c r="C1027" s="9">
        <v>43594</v>
      </c>
      <c r="D1027">
        <v>1</v>
      </c>
      <c r="E1027">
        <v>2170687513</v>
      </c>
      <c r="F1027" t="s">
        <v>16</v>
      </c>
      <c r="G1027" t="s">
        <v>17</v>
      </c>
      <c r="H1027" t="s">
        <v>59</v>
      </c>
      <c r="I1027" t="s">
        <v>701</v>
      </c>
      <c r="J1027" t="s">
        <v>1379</v>
      </c>
      <c r="K1027" s="9">
        <v>43595</v>
      </c>
      <c r="L1027" s="10">
        <v>0.40416666666666662</v>
      </c>
      <c r="M1027" t="s">
        <v>1696</v>
      </c>
      <c r="N1027" t="s">
        <v>1842</v>
      </c>
      <c r="O1027" t="s">
        <v>22</v>
      </c>
    </row>
    <row r="1028" spans="1:15" hidden="1">
      <c r="A1028" t="s">
        <v>15</v>
      </c>
      <c r="B1028" t="str">
        <f>"FES1162688893"</f>
        <v>FES1162688893</v>
      </c>
      <c r="C1028" s="9">
        <v>43594</v>
      </c>
      <c r="D1028">
        <v>1</v>
      </c>
      <c r="E1028">
        <v>2170686260</v>
      </c>
      <c r="F1028" t="s">
        <v>16</v>
      </c>
      <c r="G1028" t="s">
        <v>17</v>
      </c>
      <c r="H1028" t="s">
        <v>32</v>
      </c>
      <c r="I1028" t="s">
        <v>33</v>
      </c>
      <c r="J1028" t="s">
        <v>360</v>
      </c>
      <c r="K1028" s="9">
        <v>43595</v>
      </c>
      <c r="L1028" s="10">
        <v>0.35972222222222222</v>
      </c>
      <c r="M1028" t="s">
        <v>1727</v>
      </c>
      <c r="N1028" t="s">
        <v>1843</v>
      </c>
      <c r="O1028" t="s">
        <v>22</v>
      </c>
    </row>
    <row r="1029" spans="1:15">
      <c r="A1029" s="6" t="s">
        <v>15</v>
      </c>
      <c r="B1029" s="6" t="str">
        <f>"FES1162688848"</f>
        <v>FES1162688848</v>
      </c>
      <c r="C1029" s="7">
        <v>43594</v>
      </c>
      <c r="D1029" s="6">
        <v>1</v>
      </c>
      <c r="E1029" s="6">
        <v>2170685797</v>
      </c>
      <c r="F1029" s="6" t="s">
        <v>16</v>
      </c>
      <c r="G1029" s="6" t="s">
        <v>17</v>
      </c>
      <c r="H1029" s="6" t="s">
        <v>17</v>
      </c>
      <c r="I1029" s="6" t="s">
        <v>103</v>
      </c>
      <c r="J1029" s="6" t="s">
        <v>1844</v>
      </c>
      <c r="K1029" s="7">
        <v>43595</v>
      </c>
      <c r="L1029" s="8">
        <v>0.4375</v>
      </c>
      <c r="M1029" s="6" t="s">
        <v>325</v>
      </c>
      <c r="N1029" s="6" t="s">
        <v>21</v>
      </c>
      <c r="O1029" s="6" t="s">
        <v>22</v>
      </c>
    </row>
    <row r="1030" spans="1:15">
      <c r="A1030" s="6" t="s">
        <v>15</v>
      </c>
      <c r="B1030" s="6" t="str">
        <f>"FES1162688752"</f>
        <v>FES1162688752</v>
      </c>
      <c r="C1030" s="7">
        <v>43594</v>
      </c>
      <c r="D1030" s="6">
        <v>1</v>
      </c>
      <c r="E1030" s="6">
        <v>2170687466</v>
      </c>
      <c r="F1030" s="6" t="s">
        <v>16</v>
      </c>
      <c r="G1030" s="6" t="s">
        <v>17</v>
      </c>
      <c r="H1030" s="6" t="s">
        <v>17</v>
      </c>
      <c r="I1030" s="6" t="s">
        <v>23</v>
      </c>
      <c r="J1030" s="6" t="s">
        <v>70</v>
      </c>
      <c r="K1030" s="7">
        <v>43595</v>
      </c>
      <c r="L1030" s="8">
        <v>0.31319444444444444</v>
      </c>
      <c r="M1030" s="6" t="s">
        <v>1845</v>
      </c>
      <c r="N1030" s="6" t="s">
        <v>21</v>
      </c>
      <c r="O1030" s="6" t="s">
        <v>22</v>
      </c>
    </row>
    <row r="1031" spans="1:15">
      <c r="A1031" s="6" t="s">
        <v>15</v>
      </c>
      <c r="B1031" s="6" t="str">
        <f>"FES1162688794"</f>
        <v>FES1162688794</v>
      </c>
      <c r="C1031" s="7">
        <v>43594</v>
      </c>
      <c r="D1031" s="6">
        <v>1</v>
      </c>
      <c r="E1031" s="6">
        <v>2170680488</v>
      </c>
      <c r="F1031" s="6" t="s">
        <v>16</v>
      </c>
      <c r="G1031" s="6" t="s">
        <v>17</v>
      </c>
      <c r="H1031" s="6" t="s">
        <v>17</v>
      </c>
      <c r="I1031" s="6" t="s">
        <v>64</v>
      </c>
      <c r="J1031" s="6" t="s">
        <v>65</v>
      </c>
      <c r="K1031" s="7">
        <v>43595</v>
      </c>
      <c r="L1031" s="8">
        <v>0.32916666666666666</v>
      </c>
      <c r="M1031" s="6" t="s">
        <v>1846</v>
      </c>
      <c r="N1031" s="6" t="s">
        <v>21</v>
      </c>
      <c r="O1031" s="6" t="s">
        <v>22</v>
      </c>
    </row>
    <row r="1032" spans="1:15">
      <c r="A1032" s="6" t="s">
        <v>15</v>
      </c>
      <c r="B1032" s="6" t="str">
        <f>"FES1162688961"</f>
        <v>FES1162688961</v>
      </c>
      <c r="C1032" s="7">
        <v>43594</v>
      </c>
      <c r="D1032" s="6">
        <v>1</v>
      </c>
      <c r="E1032" s="6">
        <v>2170687195</v>
      </c>
      <c r="F1032" s="6" t="s">
        <v>16</v>
      </c>
      <c r="G1032" s="6" t="s">
        <v>17</v>
      </c>
      <c r="H1032" s="6" t="s">
        <v>17</v>
      </c>
      <c r="I1032" s="6" t="s">
        <v>103</v>
      </c>
      <c r="J1032" s="6" t="s">
        <v>1278</v>
      </c>
      <c r="K1032" s="7">
        <v>43595</v>
      </c>
      <c r="L1032" s="8">
        <v>0.33333333333333331</v>
      </c>
      <c r="M1032" s="6" t="s">
        <v>1279</v>
      </c>
      <c r="N1032" s="6" t="s">
        <v>21</v>
      </c>
      <c r="O1032" s="6" t="s">
        <v>22</v>
      </c>
    </row>
    <row r="1033" spans="1:15">
      <c r="A1033" s="6" t="s">
        <v>15</v>
      </c>
      <c r="B1033" s="6" t="str">
        <f>"FES1162688898"</f>
        <v>FES1162688898</v>
      </c>
      <c r="C1033" s="7">
        <v>43594</v>
      </c>
      <c r="D1033" s="6">
        <v>1</v>
      </c>
      <c r="E1033" s="6">
        <v>2170686323</v>
      </c>
      <c r="F1033" s="6" t="s">
        <v>16</v>
      </c>
      <c r="G1033" s="6" t="s">
        <v>17</v>
      </c>
      <c r="H1033" s="6" t="s">
        <v>17</v>
      </c>
      <c r="I1033" s="6" t="s">
        <v>29</v>
      </c>
      <c r="J1033" s="6" t="s">
        <v>1080</v>
      </c>
      <c r="K1033" s="7">
        <v>43595</v>
      </c>
      <c r="L1033" s="8">
        <v>0.33333333333333331</v>
      </c>
      <c r="M1033" s="6" t="s">
        <v>56</v>
      </c>
      <c r="N1033" s="6" t="s">
        <v>21</v>
      </c>
      <c r="O1033" s="6" t="s">
        <v>22</v>
      </c>
    </row>
    <row r="1034" spans="1:15">
      <c r="A1034" s="6" t="s">
        <v>15</v>
      </c>
      <c r="B1034" s="6" t="str">
        <f>"FES1162688673"</f>
        <v>FES1162688673</v>
      </c>
      <c r="C1034" s="7">
        <v>43594</v>
      </c>
      <c r="D1034" s="6">
        <v>1</v>
      </c>
      <c r="E1034" s="6">
        <v>217687460</v>
      </c>
      <c r="F1034" s="6" t="s">
        <v>16</v>
      </c>
      <c r="G1034" s="6" t="s">
        <v>17</v>
      </c>
      <c r="H1034" s="6" t="s">
        <v>17</v>
      </c>
      <c r="I1034" s="6" t="s">
        <v>64</v>
      </c>
      <c r="J1034" s="6" t="s">
        <v>116</v>
      </c>
      <c r="K1034" s="7">
        <v>43595</v>
      </c>
      <c r="L1034" s="8">
        <v>0.50416666666666665</v>
      </c>
      <c r="M1034" s="6" t="s">
        <v>836</v>
      </c>
      <c r="N1034" s="6" t="s">
        <v>21</v>
      </c>
      <c r="O1034" s="6" t="s">
        <v>22</v>
      </c>
    </row>
    <row r="1035" spans="1:15">
      <c r="A1035" s="6" t="s">
        <v>15</v>
      </c>
      <c r="B1035" s="6" t="str">
        <f>"FES1162688745"</f>
        <v>FES1162688745</v>
      </c>
      <c r="C1035" s="7">
        <v>43594</v>
      </c>
      <c r="D1035" s="6">
        <v>1</v>
      </c>
      <c r="E1035" s="6">
        <v>2170687374</v>
      </c>
      <c r="F1035" s="6" t="s">
        <v>16</v>
      </c>
      <c r="G1035" s="6" t="s">
        <v>17</v>
      </c>
      <c r="H1035" s="6" t="s">
        <v>17</v>
      </c>
      <c r="I1035" s="6" t="s">
        <v>414</v>
      </c>
      <c r="J1035" s="6" t="s">
        <v>1386</v>
      </c>
      <c r="K1035" s="7">
        <v>43595</v>
      </c>
      <c r="L1035" s="8">
        <v>0.33888888888888885</v>
      </c>
      <c r="M1035" s="6" t="s">
        <v>1847</v>
      </c>
      <c r="N1035" s="6" t="s">
        <v>21</v>
      </c>
      <c r="O1035" s="6" t="s">
        <v>22</v>
      </c>
    </row>
    <row r="1036" spans="1:15">
      <c r="A1036" s="6" t="s">
        <v>15</v>
      </c>
      <c r="B1036" s="6" t="str">
        <f>"FES1162688901"</f>
        <v>FES1162688901</v>
      </c>
      <c r="C1036" s="7">
        <v>43594</v>
      </c>
      <c r="D1036" s="6">
        <v>1</v>
      </c>
      <c r="E1036" s="6">
        <v>2170686430</v>
      </c>
      <c r="F1036" s="6" t="s">
        <v>16</v>
      </c>
      <c r="G1036" s="6" t="s">
        <v>17</v>
      </c>
      <c r="H1036" s="6" t="s">
        <v>17</v>
      </c>
      <c r="I1036" s="6" t="s">
        <v>103</v>
      </c>
      <c r="J1036" s="6" t="s">
        <v>1848</v>
      </c>
      <c r="K1036" s="7">
        <v>43595</v>
      </c>
      <c r="L1036" s="8">
        <v>0.37847222222222227</v>
      </c>
      <c r="M1036" s="6" t="s">
        <v>1849</v>
      </c>
      <c r="N1036" s="6" t="s">
        <v>21</v>
      </c>
      <c r="O1036" s="6" t="s">
        <v>22</v>
      </c>
    </row>
    <row r="1037" spans="1:15">
      <c r="A1037" s="6" t="s">
        <v>15</v>
      </c>
      <c r="B1037" s="6" t="str">
        <f>"FES1162688761"</f>
        <v>FES1162688761</v>
      </c>
      <c r="C1037" s="7">
        <v>43594</v>
      </c>
      <c r="D1037" s="6">
        <v>1</v>
      </c>
      <c r="E1037" s="6">
        <v>217068487</v>
      </c>
      <c r="F1037" s="6" t="s">
        <v>16</v>
      </c>
      <c r="G1037" s="6" t="s">
        <v>17</v>
      </c>
      <c r="H1037" s="6" t="s">
        <v>17</v>
      </c>
      <c r="I1037" s="6" t="s">
        <v>613</v>
      </c>
      <c r="J1037" s="6" t="s">
        <v>119</v>
      </c>
      <c r="K1037" s="7">
        <v>43595</v>
      </c>
      <c r="L1037" s="8">
        <v>0.64722222222222225</v>
      </c>
      <c r="M1037" s="6" t="s">
        <v>1850</v>
      </c>
      <c r="N1037" s="6" t="s">
        <v>21</v>
      </c>
      <c r="O1037" s="6" t="s">
        <v>22</v>
      </c>
    </row>
    <row r="1038" spans="1:15">
      <c r="A1038" s="6" t="s">
        <v>15</v>
      </c>
      <c r="B1038" s="6" t="str">
        <f>"FES1162688851"</f>
        <v>FES1162688851</v>
      </c>
      <c r="C1038" s="7">
        <v>43594</v>
      </c>
      <c r="D1038" s="6">
        <v>1</v>
      </c>
      <c r="E1038" s="6">
        <v>2170685814</v>
      </c>
      <c r="F1038" s="6" t="s">
        <v>16</v>
      </c>
      <c r="G1038" s="6" t="s">
        <v>17</v>
      </c>
      <c r="H1038" s="6" t="s">
        <v>17</v>
      </c>
      <c r="I1038" s="6" t="s">
        <v>81</v>
      </c>
      <c r="J1038" s="6" t="s">
        <v>1851</v>
      </c>
      <c r="K1038" s="7">
        <v>43595</v>
      </c>
      <c r="L1038" s="8">
        <v>0.36944444444444446</v>
      </c>
      <c r="M1038" s="6" t="s">
        <v>1852</v>
      </c>
      <c r="N1038" s="6" t="s">
        <v>21</v>
      </c>
      <c r="O1038" s="6" t="s">
        <v>22</v>
      </c>
    </row>
    <row r="1039" spans="1:15">
      <c r="A1039" s="6" t="s">
        <v>15</v>
      </c>
      <c r="B1039" s="6" t="str">
        <f>"FES1162688746"</f>
        <v>FES1162688746</v>
      </c>
      <c r="C1039" s="7">
        <v>43594</v>
      </c>
      <c r="D1039" s="6">
        <v>1</v>
      </c>
      <c r="E1039" s="6">
        <v>2170687351</v>
      </c>
      <c r="F1039" s="6" t="s">
        <v>16</v>
      </c>
      <c r="G1039" s="6" t="s">
        <v>17</v>
      </c>
      <c r="H1039" s="6" t="s">
        <v>17</v>
      </c>
      <c r="I1039" s="6" t="s">
        <v>613</v>
      </c>
      <c r="J1039" s="6" t="s">
        <v>1853</v>
      </c>
      <c r="K1039" s="7">
        <v>43595</v>
      </c>
      <c r="L1039" s="8">
        <v>0.64722222222222225</v>
      </c>
      <c r="M1039" s="6" t="s">
        <v>1854</v>
      </c>
      <c r="N1039" s="6" t="s">
        <v>21</v>
      </c>
      <c r="O1039" s="6" t="s">
        <v>22</v>
      </c>
    </row>
    <row r="1040" spans="1:15">
      <c r="A1040" s="6" t="s">
        <v>15</v>
      </c>
      <c r="B1040" s="6" t="str">
        <f>"FES1162688760"</f>
        <v>FES1162688760</v>
      </c>
      <c r="C1040" s="7">
        <v>43594</v>
      </c>
      <c r="D1040" s="6">
        <v>1</v>
      </c>
      <c r="E1040" s="6">
        <v>2170687480</v>
      </c>
      <c r="F1040" s="6" t="s">
        <v>16</v>
      </c>
      <c r="G1040" s="6" t="s">
        <v>17</v>
      </c>
      <c r="H1040" s="6" t="s">
        <v>17</v>
      </c>
      <c r="I1040" s="6" t="s">
        <v>103</v>
      </c>
      <c r="J1040" s="6" t="s">
        <v>1855</v>
      </c>
      <c r="K1040" s="7">
        <v>43595</v>
      </c>
      <c r="L1040" s="8">
        <v>0.41597222222222219</v>
      </c>
      <c r="M1040" s="6" t="s">
        <v>1856</v>
      </c>
      <c r="N1040" s="6" t="s">
        <v>21</v>
      </c>
      <c r="O1040" s="6" t="s">
        <v>22</v>
      </c>
    </row>
    <row r="1041" spans="1:15">
      <c r="A1041" s="6" t="s">
        <v>15</v>
      </c>
      <c r="B1041" s="6" t="str">
        <f>"009935723262"</f>
        <v>009935723262</v>
      </c>
      <c r="C1041" s="7">
        <v>43594</v>
      </c>
      <c r="D1041" s="6">
        <v>1</v>
      </c>
      <c r="E1041" s="6">
        <v>1162688860</v>
      </c>
      <c r="F1041" s="6" t="s">
        <v>16</v>
      </c>
      <c r="G1041" s="6" t="s">
        <v>17</v>
      </c>
      <c r="H1041" s="6" t="s">
        <v>17</v>
      </c>
      <c r="I1041" s="6" t="s">
        <v>414</v>
      </c>
      <c r="J1041" s="6" t="s">
        <v>609</v>
      </c>
      <c r="K1041" s="7">
        <v>43595</v>
      </c>
      <c r="L1041" s="8">
        <v>0.33333333333333331</v>
      </c>
      <c r="M1041" s="6" t="s">
        <v>1857</v>
      </c>
      <c r="N1041" s="6" t="s">
        <v>21</v>
      </c>
      <c r="O1041" s="6" t="s">
        <v>22</v>
      </c>
    </row>
    <row r="1042" spans="1:15">
      <c r="A1042" s="6" t="s">
        <v>15</v>
      </c>
      <c r="B1042" s="6" t="str">
        <f>"FES1162688878"</f>
        <v>FES1162688878</v>
      </c>
      <c r="C1042" s="7">
        <v>43594</v>
      </c>
      <c r="D1042" s="6">
        <v>1</v>
      </c>
      <c r="E1042" s="6">
        <v>2170686103</v>
      </c>
      <c r="F1042" s="6" t="s">
        <v>16</v>
      </c>
      <c r="G1042" s="6" t="s">
        <v>17</v>
      </c>
      <c r="H1042" s="6" t="s">
        <v>17</v>
      </c>
      <c r="I1042" s="6" t="s">
        <v>421</v>
      </c>
      <c r="J1042" s="6" t="s">
        <v>422</v>
      </c>
      <c r="K1042" s="7">
        <v>43595</v>
      </c>
      <c r="L1042" s="8">
        <v>0.33611111111111108</v>
      </c>
      <c r="M1042" s="6" t="s">
        <v>423</v>
      </c>
      <c r="N1042" s="6" t="s">
        <v>21</v>
      </c>
      <c r="O1042" s="6" t="s">
        <v>22</v>
      </c>
    </row>
    <row r="1043" spans="1:15" hidden="1">
      <c r="A1043" t="s">
        <v>15</v>
      </c>
      <c r="B1043" t="str">
        <f>"FES1162688803"</f>
        <v>FES1162688803</v>
      </c>
      <c r="C1043" s="9">
        <v>43594</v>
      </c>
      <c r="D1043">
        <v>1</v>
      </c>
      <c r="E1043">
        <v>2170684654</v>
      </c>
      <c r="F1043" t="s">
        <v>16</v>
      </c>
      <c r="G1043" t="s">
        <v>17</v>
      </c>
      <c r="H1043" t="s">
        <v>141</v>
      </c>
      <c r="I1043" t="s">
        <v>142</v>
      </c>
      <c r="J1043" t="s">
        <v>213</v>
      </c>
      <c r="K1043" s="9">
        <v>43595</v>
      </c>
      <c r="L1043" s="10">
        <v>0.39027777777777778</v>
      </c>
      <c r="M1043" t="s">
        <v>214</v>
      </c>
      <c r="N1043" t="s">
        <v>1858</v>
      </c>
      <c r="O1043" t="s">
        <v>22</v>
      </c>
    </row>
    <row r="1044" spans="1:15">
      <c r="A1044" s="6" t="s">
        <v>15</v>
      </c>
      <c r="B1044" s="6" t="str">
        <f>"FES1162688856"</f>
        <v>FES1162688856</v>
      </c>
      <c r="C1044" s="7">
        <v>43594</v>
      </c>
      <c r="D1044" s="6">
        <v>1</v>
      </c>
      <c r="E1044" s="6">
        <v>2170685856</v>
      </c>
      <c r="F1044" s="6" t="s">
        <v>16</v>
      </c>
      <c r="G1044" s="6" t="s">
        <v>17</v>
      </c>
      <c r="H1044" s="6" t="s">
        <v>17</v>
      </c>
      <c r="I1044" s="6" t="s">
        <v>414</v>
      </c>
      <c r="J1044" s="6" t="s">
        <v>1538</v>
      </c>
      <c r="K1044" s="7">
        <v>43598</v>
      </c>
      <c r="L1044" s="8">
        <v>0.33333333333333331</v>
      </c>
      <c r="M1044" s="6" t="s">
        <v>1539</v>
      </c>
      <c r="N1044" s="6" t="s">
        <v>21</v>
      </c>
      <c r="O1044" s="6" t="s">
        <v>22</v>
      </c>
    </row>
    <row r="1045" spans="1:15" hidden="1">
      <c r="A1045" t="s">
        <v>15</v>
      </c>
      <c r="B1045" t="str">
        <f>"FES1162688749"</f>
        <v>FES1162688749</v>
      </c>
      <c r="C1045" s="9">
        <v>43594</v>
      </c>
      <c r="D1045">
        <v>1</v>
      </c>
      <c r="E1045">
        <v>217687430</v>
      </c>
      <c r="F1045" t="s">
        <v>16</v>
      </c>
      <c r="G1045" t="s">
        <v>17</v>
      </c>
      <c r="H1045" t="s">
        <v>43</v>
      </c>
      <c r="I1045" t="s">
        <v>60</v>
      </c>
      <c r="J1045" t="s">
        <v>242</v>
      </c>
      <c r="K1045" s="9">
        <v>43598</v>
      </c>
      <c r="L1045" s="10">
        <v>0.41666666666666669</v>
      </c>
      <c r="M1045" t="s">
        <v>1859</v>
      </c>
      <c r="N1045" t="s">
        <v>1860</v>
      </c>
      <c r="O1045" t="s">
        <v>22</v>
      </c>
    </row>
    <row r="1046" spans="1:15" hidden="1">
      <c r="A1046" t="s">
        <v>15</v>
      </c>
      <c r="B1046" t="str">
        <f>"FES1162688909"</f>
        <v>FES1162688909</v>
      </c>
      <c r="C1046" s="9">
        <v>43594</v>
      </c>
      <c r="D1046">
        <v>1</v>
      </c>
      <c r="E1046">
        <v>217687006</v>
      </c>
      <c r="F1046" t="s">
        <v>16</v>
      </c>
      <c r="G1046" t="s">
        <v>17</v>
      </c>
      <c r="H1046" t="s">
        <v>43</v>
      </c>
      <c r="I1046" t="s">
        <v>54</v>
      </c>
      <c r="J1046" t="s">
        <v>216</v>
      </c>
      <c r="K1046" s="9">
        <v>43595</v>
      </c>
      <c r="L1046" s="10">
        <v>0.41666666666666669</v>
      </c>
      <c r="M1046" t="s">
        <v>1443</v>
      </c>
      <c r="N1046" t="s">
        <v>1861</v>
      </c>
      <c r="O1046" t="s">
        <v>22</v>
      </c>
    </row>
    <row r="1047" spans="1:15" hidden="1">
      <c r="A1047" t="s">
        <v>15</v>
      </c>
      <c r="B1047" t="str">
        <f>"FES1162688664"</f>
        <v>FES1162688664</v>
      </c>
      <c r="C1047" s="9">
        <v>43594</v>
      </c>
      <c r="D1047">
        <v>1</v>
      </c>
      <c r="E1047">
        <v>2170687446</v>
      </c>
      <c r="F1047" t="s">
        <v>16</v>
      </c>
      <c r="G1047" t="s">
        <v>17</v>
      </c>
      <c r="H1047" t="s">
        <v>43</v>
      </c>
      <c r="I1047" t="s">
        <v>807</v>
      </c>
      <c r="J1047" t="s">
        <v>1862</v>
      </c>
      <c r="K1047" s="9">
        <v>43598</v>
      </c>
      <c r="L1047" s="10">
        <v>0.52500000000000002</v>
      </c>
      <c r="M1047" t="s">
        <v>1863</v>
      </c>
      <c r="N1047" t="s">
        <v>1864</v>
      </c>
      <c r="O1047" t="s">
        <v>22</v>
      </c>
    </row>
    <row r="1048" spans="1:15" hidden="1">
      <c r="A1048" t="s">
        <v>15</v>
      </c>
      <c r="B1048" t="str">
        <f>"FES1162688731"</f>
        <v>FES1162688731</v>
      </c>
      <c r="C1048" s="9">
        <v>43594</v>
      </c>
      <c r="D1048">
        <v>1</v>
      </c>
      <c r="E1048">
        <v>2170686590</v>
      </c>
      <c r="F1048" t="s">
        <v>16</v>
      </c>
      <c r="G1048" t="s">
        <v>17</v>
      </c>
      <c r="H1048" t="s">
        <v>290</v>
      </c>
      <c r="I1048" t="s">
        <v>291</v>
      </c>
      <c r="J1048" t="s">
        <v>297</v>
      </c>
      <c r="K1048" s="9">
        <v>43595</v>
      </c>
      <c r="L1048" s="10">
        <v>0.38263888888888892</v>
      </c>
      <c r="M1048" t="s">
        <v>298</v>
      </c>
      <c r="N1048" t="s">
        <v>1865</v>
      </c>
      <c r="O1048" t="s">
        <v>22</v>
      </c>
    </row>
    <row r="1049" spans="1:15" hidden="1">
      <c r="A1049" t="s">
        <v>15</v>
      </c>
      <c r="B1049" t="str">
        <f>"FES116268844"</f>
        <v>FES116268844</v>
      </c>
      <c r="C1049" s="9">
        <v>43594</v>
      </c>
      <c r="D1049">
        <v>1</v>
      </c>
      <c r="E1049">
        <v>2170685776</v>
      </c>
      <c r="F1049" t="s">
        <v>16</v>
      </c>
      <c r="G1049" t="s">
        <v>17</v>
      </c>
      <c r="H1049" t="s">
        <v>141</v>
      </c>
      <c r="I1049" t="s">
        <v>185</v>
      </c>
      <c r="J1049" t="s">
        <v>503</v>
      </c>
      <c r="K1049" s="9">
        <v>43595</v>
      </c>
      <c r="L1049" s="10">
        <v>0.40138888888888885</v>
      </c>
      <c r="M1049" t="s">
        <v>1355</v>
      </c>
      <c r="N1049" t="s">
        <v>1866</v>
      </c>
      <c r="O1049" t="s">
        <v>22</v>
      </c>
    </row>
    <row r="1050" spans="1:15" hidden="1">
      <c r="A1050" t="s">
        <v>15</v>
      </c>
      <c r="B1050" t="str">
        <f>"FES1162688934"</f>
        <v>FES1162688934</v>
      </c>
      <c r="C1050" s="9">
        <v>43594</v>
      </c>
      <c r="D1050">
        <v>1</v>
      </c>
      <c r="E1050">
        <v>2170686162</v>
      </c>
      <c r="F1050" t="s">
        <v>16</v>
      </c>
      <c r="G1050" t="s">
        <v>17</v>
      </c>
      <c r="H1050" t="s">
        <v>43</v>
      </c>
      <c r="I1050" t="s">
        <v>44</v>
      </c>
      <c r="J1050" t="s">
        <v>48</v>
      </c>
      <c r="K1050" s="9">
        <v>43595</v>
      </c>
      <c r="L1050" s="10">
        <v>0.41666666666666669</v>
      </c>
      <c r="M1050" t="s">
        <v>1867</v>
      </c>
      <c r="N1050" t="s">
        <v>1868</v>
      </c>
      <c r="O1050" t="s">
        <v>22</v>
      </c>
    </row>
    <row r="1051" spans="1:15" hidden="1">
      <c r="A1051" t="s">
        <v>15</v>
      </c>
      <c r="B1051" t="str">
        <f>"FES1162688669"</f>
        <v>FES1162688669</v>
      </c>
      <c r="C1051" s="9">
        <v>43594</v>
      </c>
      <c r="D1051">
        <v>1</v>
      </c>
      <c r="E1051">
        <v>2170687455</v>
      </c>
      <c r="F1051" t="s">
        <v>16</v>
      </c>
      <c r="G1051" t="s">
        <v>17</v>
      </c>
      <c r="H1051" t="s">
        <v>141</v>
      </c>
      <c r="I1051" t="s">
        <v>448</v>
      </c>
      <c r="J1051" t="s">
        <v>1869</v>
      </c>
      <c r="K1051" s="9">
        <v>43595</v>
      </c>
      <c r="L1051" s="10">
        <v>0.37708333333333338</v>
      </c>
      <c r="M1051" t="s">
        <v>1870</v>
      </c>
      <c r="N1051" t="s">
        <v>1871</v>
      </c>
      <c r="O1051" t="s">
        <v>22</v>
      </c>
    </row>
    <row r="1052" spans="1:15" hidden="1">
      <c r="A1052" t="s">
        <v>15</v>
      </c>
      <c r="B1052" t="str">
        <f>"FES1162688741"</f>
        <v>FES1162688741</v>
      </c>
      <c r="C1052" s="9">
        <v>43594</v>
      </c>
      <c r="D1052">
        <v>1</v>
      </c>
      <c r="E1052">
        <v>2170687621</v>
      </c>
      <c r="F1052" t="s">
        <v>16</v>
      </c>
      <c r="G1052" t="s">
        <v>17</v>
      </c>
      <c r="H1052" t="s">
        <v>43</v>
      </c>
      <c r="I1052" t="s">
        <v>44</v>
      </c>
      <c r="J1052" t="s">
        <v>945</v>
      </c>
      <c r="K1052" s="9">
        <v>43598</v>
      </c>
      <c r="L1052" s="10">
        <v>0.41666666666666669</v>
      </c>
      <c r="M1052" t="s">
        <v>946</v>
      </c>
      <c r="N1052" t="s">
        <v>1872</v>
      </c>
      <c r="O1052" t="s">
        <v>22</v>
      </c>
    </row>
    <row r="1053" spans="1:15" hidden="1">
      <c r="A1053" t="s">
        <v>15</v>
      </c>
      <c r="B1053" t="str">
        <f>"FES1162688947"</f>
        <v>FES1162688947</v>
      </c>
      <c r="C1053" s="9">
        <v>43594</v>
      </c>
      <c r="D1053">
        <v>1</v>
      </c>
      <c r="E1053">
        <v>2170679177</v>
      </c>
      <c r="F1053" t="s">
        <v>16</v>
      </c>
      <c r="G1053" t="s">
        <v>17</v>
      </c>
      <c r="H1053" t="s">
        <v>32</v>
      </c>
      <c r="I1053" t="s">
        <v>33</v>
      </c>
      <c r="J1053" t="s">
        <v>34</v>
      </c>
      <c r="K1053" s="9">
        <v>43595</v>
      </c>
      <c r="L1053" s="10">
        <v>0.34722222222222227</v>
      </c>
      <c r="M1053" t="s">
        <v>35</v>
      </c>
      <c r="N1053" t="s">
        <v>1873</v>
      </c>
      <c r="O1053" t="s">
        <v>22</v>
      </c>
    </row>
    <row r="1054" spans="1:15" hidden="1">
      <c r="A1054" t="s">
        <v>15</v>
      </c>
      <c r="B1054" t="str">
        <f>"FES1162688755"</f>
        <v>FES1162688755</v>
      </c>
      <c r="C1054" s="9">
        <v>43594</v>
      </c>
      <c r="D1054">
        <v>1</v>
      </c>
      <c r="E1054">
        <v>2170687471</v>
      </c>
      <c r="F1054" t="s">
        <v>16</v>
      </c>
      <c r="G1054" t="s">
        <v>17</v>
      </c>
      <c r="H1054" t="s">
        <v>43</v>
      </c>
      <c r="I1054" t="s">
        <v>75</v>
      </c>
      <c r="J1054" t="s">
        <v>1874</v>
      </c>
      <c r="K1054" s="9">
        <v>43598</v>
      </c>
      <c r="L1054" s="10">
        <v>0.50277777777777777</v>
      </c>
      <c r="M1054" t="s">
        <v>1875</v>
      </c>
      <c r="N1054" t="s">
        <v>1876</v>
      </c>
      <c r="O1054" t="s">
        <v>22</v>
      </c>
    </row>
    <row r="1055" spans="1:15" hidden="1">
      <c r="A1055" t="s">
        <v>15</v>
      </c>
      <c r="B1055" t="str">
        <f>"FES1162688667"</f>
        <v>FES1162688667</v>
      </c>
      <c r="C1055" s="9">
        <v>43594</v>
      </c>
      <c r="D1055">
        <v>1</v>
      </c>
      <c r="E1055">
        <v>2170687453</v>
      </c>
      <c r="F1055" t="s">
        <v>16</v>
      </c>
      <c r="G1055" t="s">
        <v>17</v>
      </c>
      <c r="H1055" t="s">
        <v>43</v>
      </c>
      <c r="I1055" t="s">
        <v>807</v>
      </c>
      <c r="J1055" t="s">
        <v>1862</v>
      </c>
      <c r="K1055" s="9">
        <v>43598</v>
      </c>
      <c r="L1055" s="10">
        <v>0.52500000000000002</v>
      </c>
      <c r="M1055" t="s">
        <v>1863</v>
      </c>
      <c r="N1055" t="s">
        <v>1877</v>
      </c>
      <c r="O1055" t="s">
        <v>22</v>
      </c>
    </row>
    <row r="1056" spans="1:15" hidden="1">
      <c r="A1056" t="s">
        <v>15</v>
      </c>
      <c r="B1056" t="str">
        <f>"FES1162688891"</f>
        <v>FES1162688891</v>
      </c>
      <c r="C1056" s="9">
        <v>43594</v>
      </c>
      <c r="D1056">
        <v>1</v>
      </c>
      <c r="E1056">
        <v>2170686252</v>
      </c>
      <c r="F1056" t="s">
        <v>16</v>
      </c>
      <c r="G1056" t="s">
        <v>17</v>
      </c>
      <c r="H1056" t="s">
        <v>43</v>
      </c>
      <c r="I1056" t="s">
        <v>44</v>
      </c>
      <c r="J1056" t="s">
        <v>1284</v>
      </c>
      <c r="K1056" s="9">
        <v>43598</v>
      </c>
      <c r="L1056" s="10">
        <v>0.39513888888888887</v>
      </c>
      <c r="M1056" t="s">
        <v>1878</v>
      </c>
      <c r="N1056" t="s">
        <v>1879</v>
      </c>
      <c r="O1056" t="s">
        <v>22</v>
      </c>
    </row>
    <row r="1057" spans="1:15" hidden="1">
      <c r="A1057" t="s">
        <v>15</v>
      </c>
      <c r="B1057" t="str">
        <f>"FES1162688785"</f>
        <v>FES1162688785</v>
      </c>
      <c r="C1057" s="9">
        <v>43594</v>
      </c>
      <c r="D1057">
        <v>1</v>
      </c>
      <c r="E1057">
        <v>2170687457</v>
      </c>
      <c r="F1057" t="s">
        <v>16</v>
      </c>
      <c r="G1057" t="s">
        <v>17</v>
      </c>
      <c r="H1057" t="s">
        <v>43</v>
      </c>
      <c r="I1057" t="s">
        <v>44</v>
      </c>
      <c r="J1057" t="s">
        <v>1591</v>
      </c>
      <c r="K1057" s="9">
        <v>43598</v>
      </c>
      <c r="L1057" s="10">
        <v>0.46180555555555558</v>
      </c>
      <c r="M1057" t="s">
        <v>1880</v>
      </c>
      <c r="N1057" t="s">
        <v>1881</v>
      </c>
      <c r="O1057" t="s">
        <v>22</v>
      </c>
    </row>
    <row r="1058" spans="1:15">
      <c r="A1058" s="6" t="s">
        <v>15</v>
      </c>
      <c r="B1058" s="6" t="str">
        <f>"FES1162688838"</f>
        <v>FES1162688838</v>
      </c>
      <c r="C1058" s="7">
        <v>43594</v>
      </c>
      <c r="D1058" s="6">
        <v>1</v>
      </c>
      <c r="E1058" s="6">
        <v>2170685717</v>
      </c>
      <c r="F1058" s="6" t="s">
        <v>16</v>
      </c>
      <c r="G1058" s="6" t="s">
        <v>17</v>
      </c>
      <c r="H1058" s="6" t="s">
        <v>17</v>
      </c>
      <c r="I1058" s="6" t="s">
        <v>23</v>
      </c>
      <c r="J1058" s="6" t="s">
        <v>119</v>
      </c>
      <c r="K1058" s="7">
        <v>43595</v>
      </c>
      <c r="L1058" s="8">
        <v>0.31180555555555556</v>
      </c>
      <c r="M1058" s="6" t="s">
        <v>1882</v>
      </c>
      <c r="N1058" s="6" t="s">
        <v>21</v>
      </c>
      <c r="O1058" s="6" t="s">
        <v>22</v>
      </c>
    </row>
    <row r="1059" spans="1:15" hidden="1">
      <c r="A1059" t="s">
        <v>15</v>
      </c>
      <c r="B1059" t="str">
        <f>"FES1162688853"</f>
        <v>FES1162688853</v>
      </c>
      <c r="C1059" s="9">
        <v>43594</v>
      </c>
      <c r="D1059">
        <v>1</v>
      </c>
      <c r="E1059">
        <v>2170685836</v>
      </c>
      <c r="F1059" t="s">
        <v>16</v>
      </c>
      <c r="G1059" t="s">
        <v>17</v>
      </c>
      <c r="H1059" t="s">
        <v>43</v>
      </c>
      <c r="I1059" t="s">
        <v>44</v>
      </c>
      <c r="J1059" t="s">
        <v>745</v>
      </c>
      <c r="K1059" s="9">
        <v>43598</v>
      </c>
      <c r="L1059" s="10">
        <v>0.4381944444444445</v>
      </c>
      <c r="M1059" t="s">
        <v>1883</v>
      </c>
      <c r="N1059" t="s">
        <v>1884</v>
      </c>
      <c r="O1059" t="s">
        <v>22</v>
      </c>
    </row>
    <row r="1060" spans="1:15" hidden="1">
      <c r="A1060" t="s">
        <v>15</v>
      </c>
      <c r="B1060" t="str">
        <f>"FES1162688864"</f>
        <v>FES1162688864</v>
      </c>
      <c r="C1060" s="9">
        <v>43594</v>
      </c>
      <c r="D1060">
        <v>1</v>
      </c>
      <c r="E1060">
        <v>2170685909</v>
      </c>
      <c r="F1060" t="s">
        <v>16</v>
      </c>
      <c r="G1060" t="s">
        <v>17</v>
      </c>
      <c r="H1060" t="s">
        <v>43</v>
      </c>
      <c r="I1060" t="s">
        <v>44</v>
      </c>
      <c r="J1060" t="s">
        <v>1885</v>
      </c>
      <c r="K1060" s="9">
        <v>43598</v>
      </c>
      <c r="L1060" s="10">
        <v>0.31597222222222221</v>
      </c>
      <c r="M1060" t="s">
        <v>1886</v>
      </c>
      <c r="N1060" t="s">
        <v>1887</v>
      </c>
      <c r="O1060" t="s">
        <v>22</v>
      </c>
    </row>
    <row r="1061" spans="1:15" hidden="1">
      <c r="A1061" t="s">
        <v>15</v>
      </c>
      <c r="B1061" t="str">
        <f>"FES1162688799"</f>
        <v>FES1162688799</v>
      </c>
      <c r="C1061" s="9">
        <v>43594</v>
      </c>
      <c r="D1061">
        <v>1</v>
      </c>
      <c r="E1061">
        <v>2170683447</v>
      </c>
      <c r="F1061" t="s">
        <v>16</v>
      </c>
      <c r="G1061" t="s">
        <v>17</v>
      </c>
      <c r="H1061" t="s">
        <v>43</v>
      </c>
      <c r="I1061" t="s">
        <v>54</v>
      </c>
      <c r="J1061" t="s">
        <v>216</v>
      </c>
      <c r="K1061" s="9">
        <v>43595</v>
      </c>
      <c r="L1061" s="10">
        <v>0.41666666666666669</v>
      </c>
      <c r="M1061" t="s">
        <v>1888</v>
      </c>
      <c r="N1061" t="s">
        <v>1889</v>
      </c>
      <c r="O1061" t="s">
        <v>22</v>
      </c>
    </row>
    <row r="1062" spans="1:15" hidden="1">
      <c r="A1062" t="s">
        <v>15</v>
      </c>
      <c r="B1062" t="str">
        <f>"FES1162688846"</f>
        <v>FES1162688846</v>
      </c>
      <c r="C1062" s="9">
        <v>43594</v>
      </c>
      <c r="D1062">
        <v>1</v>
      </c>
      <c r="E1062">
        <v>2170685786</v>
      </c>
      <c r="F1062" t="s">
        <v>16</v>
      </c>
      <c r="G1062" t="s">
        <v>17</v>
      </c>
      <c r="H1062" t="s">
        <v>43</v>
      </c>
      <c r="I1062" t="s">
        <v>44</v>
      </c>
      <c r="J1062" t="s">
        <v>1890</v>
      </c>
      <c r="K1062" s="9">
        <v>43598</v>
      </c>
      <c r="L1062" s="10">
        <v>0.41666666666666669</v>
      </c>
      <c r="M1062" t="s">
        <v>107</v>
      </c>
      <c r="N1062" t="s">
        <v>1891</v>
      </c>
      <c r="O1062" t="s">
        <v>22</v>
      </c>
    </row>
    <row r="1063" spans="1:15">
      <c r="A1063" s="6" t="s">
        <v>15</v>
      </c>
      <c r="B1063" s="6" t="str">
        <f>"FES1162688842"</f>
        <v>FES1162688842</v>
      </c>
      <c r="C1063" s="7">
        <v>43594</v>
      </c>
      <c r="D1063" s="6">
        <v>1</v>
      </c>
      <c r="E1063" s="6">
        <v>2170685759</v>
      </c>
      <c r="F1063" s="6" t="s">
        <v>16</v>
      </c>
      <c r="G1063" s="6" t="s">
        <v>17</v>
      </c>
      <c r="H1063" s="6" t="s">
        <v>17</v>
      </c>
      <c r="I1063" s="6" t="s">
        <v>64</v>
      </c>
      <c r="J1063" s="6" t="s">
        <v>116</v>
      </c>
      <c r="K1063" s="7">
        <v>43595</v>
      </c>
      <c r="L1063" s="8">
        <v>0.50416666666666665</v>
      </c>
      <c r="M1063" s="6" t="s">
        <v>836</v>
      </c>
      <c r="N1063" s="6" t="s">
        <v>21</v>
      </c>
      <c r="O1063" s="6" t="s">
        <v>22</v>
      </c>
    </row>
    <row r="1064" spans="1:15" hidden="1">
      <c r="A1064" t="s">
        <v>15</v>
      </c>
      <c r="B1064" t="str">
        <f>"FES1162688810"</f>
        <v>FES1162688810</v>
      </c>
      <c r="C1064" s="9">
        <v>43594</v>
      </c>
      <c r="D1064">
        <v>1</v>
      </c>
      <c r="E1064">
        <v>2170685468</v>
      </c>
      <c r="F1064" t="s">
        <v>16</v>
      </c>
      <c r="G1064" t="s">
        <v>17</v>
      </c>
      <c r="H1064" t="s">
        <v>141</v>
      </c>
      <c r="I1064" t="s">
        <v>142</v>
      </c>
      <c r="J1064" t="s">
        <v>213</v>
      </c>
      <c r="K1064" s="9">
        <v>43595</v>
      </c>
      <c r="L1064" s="10">
        <v>0.39027777777777778</v>
      </c>
      <c r="M1064" t="s">
        <v>214</v>
      </c>
      <c r="N1064" t="s">
        <v>1892</v>
      </c>
      <c r="O1064" t="s">
        <v>22</v>
      </c>
    </row>
    <row r="1065" spans="1:15" hidden="1">
      <c r="A1065" t="s">
        <v>15</v>
      </c>
      <c r="B1065" t="str">
        <f>"FES1162688683"</f>
        <v>FES1162688683</v>
      </c>
      <c r="C1065" s="9">
        <v>43594</v>
      </c>
      <c r="D1065">
        <v>1</v>
      </c>
      <c r="E1065">
        <v>2170681205</v>
      </c>
      <c r="F1065" t="s">
        <v>16</v>
      </c>
      <c r="G1065" t="s">
        <v>17</v>
      </c>
      <c r="H1065" t="s">
        <v>290</v>
      </c>
      <c r="I1065" t="s">
        <v>291</v>
      </c>
      <c r="J1065" t="s">
        <v>1893</v>
      </c>
      <c r="K1065" s="9">
        <v>43595</v>
      </c>
      <c r="L1065" s="10">
        <v>0.40625</v>
      </c>
      <c r="M1065" t="s">
        <v>1540</v>
      </c>
      <c r="N1065" t="s">
        <v>1894</v>
      </c>
      <c r="O1065" t="s">
        <v>22</v>
      </c>
    </row>
    <row r="1066" spans="1:15" hidden="1">
      <c r="A1066" t="s">
        <v>15</v>
      </c>
      <c r="B1066" t="str">
        <f>"FES1162688724"</f>
        <v>FES1162688724</v>
      </c>
      <c r="C1066" s="9">
        <v>43594</v>
      </c>
      <c r="D1066">
        <v>1</v>
      </c>
      <c r="E1066">
        <v>2170685909</v>
      </c>
      <c r="F1066" t="s">
        <v>16</v>
      </c>
      <c r="G1066" t="s">
        <v>17</v>
      </c>
      <c r="H1066" t="s">
        <v>43</v>
      </c>
      <c r="I1066" t="s">
        <v>44</v>
      </c>
      <c r="J1066" t="s">
        <v>1885</v>
      </c>
      <c r="K1066" s="9">
        <v>43598</v>
      </c>
      <c r="L1066" s="10">
        <v>0.31597222222222221</v>
      </c>
      <c r="M1066" t="s">
        <v>1886</v>
      </c>
      <c r="N1066" t="s">
        <v>1895</v>
      </c>
      <c r="O1066" t="s">
        <v>22</v>
      </c>
    </row>
    <row r="1067" spans="1:15" hidden="1">
      <c r="A1067" t="s">
        <v>15</v>
      </c>
      <c r="B1067" t="str">
        <f>"FES1162688913"</f>
        <v>FES1162688913</v>
      </c>
      <c r="C1067" s="9">
        <v>43594</v>
      </c>
      <c r="D1067">
        <v>1</v>
      </c>
      <c r="E1067">
        <v>2170687509</v>
      </c>
      <c r="F1067" t="s">
        <v>16</v>
      </c>
      <c r="G1067" t="s">
        <v>17</v>
      </c>
      <c r="H1067" t="s">
        <v>43</v>
      </c>
      <c r="I1067" t="s">
        <v>44</v>
      </c>
      <c r="J1067" t="s">
        <v>45</v>
      </c>
      <c r="K1067" s="9">
        <v>43598</v>
      </c>
      <c r="L1067" s="10">
        <v>0.3215277777777778</v>
      </c>
      <c r="M1067" t="s">
        <v>46</v>
      </c>
      <c r="N1067" t="s">
        <v>1896</v>
      </c>
      <c r="O1067" t="s">
        <v>22</v>
      </c>
    </row>
    <row r="1068" spans="1:15" hidden="1">
      <c r="A1068" t="s">
        <v>15</v>
      </c>
      <c r="B1068" t="str">
        <f>"FES1162688857"</f>
        <v>FES1162688857</v>
      </c>
      <c r="C1068" s="9">
        <v>43594</v>
      </c>
      <c r="D1068">
        <v>1</v>
      </c>
      <c r="E1068">
        <v>2170685875</v>
      </c>
      <c r="F1068" t="s">
        <v>16</v>
      </c>
      <c r="G1068" t="s">
        <v>17</v>
      </c>
      <c r="H1068" t="s">
        <v>43</v>
      </c>
      <c r="I1068" t="s">
        <v>44</v>
      </c>
      <c r="J1068" t="s">
        <v>51</v>
      </c>
      <c r="K1068" s="9">
        <v>43598</v>
      </c>
      <c r="L1068" s="10">
        <v>0.34930555555555554</v>
      </c>
      <c r="M1068" t="s">
        <v>1394</v>
      </c>
      <c r="N1068" t="s">
        <v>1897</v>
      </c>
      <c r="O1068" t="s">
        <v>22</v>
      </c>
    </row>
    <row r="1069" spans="1:15" hidden="1">
      <c r="A1069" t="s">
        <v>15</v>
      </c>
      <c r="B1069" t="str">
        <f>"FES1162688657"</f>
        <v>FES1162688657</v>
      </c>
      <c r="C1069" s="9">
        <v>43594</v>
      </c>
      <c r="D1069">
        <v>1</v>
      </c>
      <c r="E1069">
        <v>2170687443</v>
      </c>
      <c r="F1069" t="s">
        <v>16</v>
      </c>
      <c r="G1069" t="s">
        <v>17</v>
      </c>
      <c r="H1069" t="s">
        <v>43</v>
      </c>
      <c r="I1069" t="s">
        <v>44</v>
      </c>
      <c r="J1069" t="s">
        <v>48</v>
      </c>
      <c r="K1069" s="9">
        <v>43595</v>
      </c>
      <c r="L1069" s="10">
        <v>0.41666666666666669</v>
      </c>
      <c r="M1069" t="s">
        <v>1763</v>
      </c>
      <c r="N1069" t="s">
        <v>1898</v>
      </c>
      <c r="O1069" t="s">
        <v>22</v>
      </c>
    </row>
    <row r="1070" spans="1:15" hidden="1">
      <c r="A1070" t="s">
        <v>15</v>
      </c>
      <c r="B1070" t="str">
        <f>"FES1162688845"</f>
        <v>FES1162688845</v>
      </c>
      <c r="C1070" s="9">
        <v>43594</v>
      </c>
      <c r="D1070">
        <v>1</v>
      </c>
      <c r="E1070">
        <v>2170685781</v>
      </c>
      <c r="F1070" t="s">
        <v>16</v>
      </c>
      <c r="G1070" t="s">
        <v>17</v>
      </c>
      <c r="H1070" t="s">
        <v>141</v>
      </c>
      <c r="I1070" t="s">
        <v>142</v>
      </c>
      <c r="J1070" t="s">
        <v>213</v>
      </c>
      <c r="K1070" s="9">
        <v>43595</v>
      </c>
      <c r="L1070" s="10">
        <v>0.39027777777777778</v>
      </c>
      <c r="M1070" t="s">
        <v>214</v>
      </c>
      <c r="N1070" t="s">
        <v>1899</v>
      </c>
      <c r="O1070" t="s">
        <v>22</v>
      </c>
    </row>
    <row r="1071" spans="1:15">
      <c r="A1071" s="6" t="s">
        <v>15</v>
      </c>
      <c r="B1071" s="6" t="str">
        <f>"FES1162688770"</f>
        <v>FES1162688770</v>
      </c>
      <c r="C1071" s="7">
        <v>43594</v>
      </c>
      <c r="D1071" s="6">
        <v>1</v>
      </c>
      <c r="E1071" s="6">
        <v>2170684854</v>
      </c>
      <c r="F1071" s="6" t="s">
        <v>16</v>
      </c>
      <c r="G1071" s="6" t="s">
        <v>17</v>
      </c>
      <c r="H1071" s="6" t="s">
        <v>17</v>
      </c>
      <c r="I1071" s="6" t="s">
        <v>29</v>
      </c>
      <c r="J1071" s="6" t="s">
        <v>912</v>
      </c>
      <c r="K1071" s="7">
        <v>43595</v>
      </c>
      <c r="L1071" s="8">
        <v>0.44236111111111115</v>
      </c>
      <c r="M1071" s="6" t="s">
        <v>325</v>
      </c>
      <c r="N1071" s="6" t="s">
        <v>21</v>
      </c>
      <c r="O1071" s="6" t="s">
        <v>22</v>
      </c>
    </row>
    <row r="1072" spans="1:15" hidden="1">
      <c r="A1072" t="s">
        <v>15</v>
      </c>
      <c r="B1072" t="str">
        <f>"FES1162688711"</f>
        <v>FES1162688711</v>
      </c>
      <c r="C1072" s="9">
        <v>43594</v>
      </c>
      <c r="D1072">
        <v>1</v>
      </c>
      <c r="E1072">
        <v>2170684462</v>
      </c>
      <c r="F1072" t="s">
        <v>16</v>
      </c>
      <c r="G1072" t="s">
        <v>17</v>
      </c>
      <c r="H1072" t="s">
        <v>290</v>
      </c>
      <c r="I1072" t="s">
        <v>291</v>
      </c>
      <c r="J1072" t="s">
        <v>532</v>
      </c>
      <c r="K1072" s="9">
        <v>43595</v>
      </c>
      <c r="L1072" s="10">
        <v>0.42499999999999999</v>
      </c>
      <c r="M1072" t="s">
        <v>1900</v>
      </c>
      <c r="N1072" t="s">
        <v>1901</v>
      </c>
      <c r="O1072" t="s">
        <v>22</v>
      </c>
    </row>
    <row r="1073" spans="1:15" hidden="1">
      <c r="A1073" t="s">
        <v>15</v>
      </c>
      <c r="B1073" t="str">
        <f>"FES1162688575"</f>
        <v>FES1162688575</v>
      </c>
      <c r="C1073" s="9">
        <v>43594</v>
      </c>
      <c r="D1073">
        <v>1</v>
      </c>
      <c r="E1073">
        <v>2170686959</v>
      </c>
      <c r="F1073" t="s">
        <v>16</v>
      </c>
      <c r="G1073" t="s">
        <v>17</v>
      </c>
      <c r="H1073" t="s">
        <v>290</v>
      </c>
      <c r="I1073" t="s">
        <v>291</v>
      </c>
      <c r="J1073" t="s">
        <v>297</v>
      </c>
      <c r="K1073" s="9">
        <v>43595</v>
      </c>
      <c r="L1073" s="10">
        <v>0.3833333333333333</v>
      </c>
      <c r="M1073" t="s">
        <v>298</v>
      </c>
      <c r="N1073" t="s">
        <v>1902</v>
      </c>
      <c r="O1073" t="s">
        <v>22</v>
      </c>
    </row>
    <row r="1074" spans="1:15" hidden="1">
      <c r="A1074" t="s">
        <v>15</v>
      </c>
      <c r="B1074" t="str">
        <f>"FES1162688858"</f>
        <v>FES1162688858</v>
      </c>
      <c r="C1074" s="9">
        <v>43594</v>
      </c>
      <c r="D1074">
        <v>1</v>
      </c>
      <c r="E1074">
        <v>2170685878</v>
      </c>
      <c r="F1074" t="s">
        <v>16</v>
      </c>
      <c r="G1074" t="s">
        <v>17</v>
      </c>
      <c r="H1074" t="s">
        <v>141</v>
      </c>
      <c r="I1074" t="s">
        <v>185</v>
      </c>
      <c r="J1074" t="s">
        <v>503</v>
      </c>
      <c r="K1074" s="9">
        <v>43595</v>
      </c>
      <c r="L1074" s="10">
        <v>0.3972222222222222</v>
      </c>
      <c r="M1074" t="s">
        <v>1355</v>
      </c>
      <c r="N1074" t="s">
        <v>1903</v>
      </c>
      <c r="O1074" t="s">
        <v>22</v>
      </c>
    </row>
    <row r="1075" spans="1:15">
      <c r="A1075" s="6" t="s">
        <v>15</v>
      </c>
      <c r="B1075" s="6" t="str">
        <f>"FES1162688861"</f>
        <v>FES1162688861</v>
      </c>
      <c r="C1075" s="7">
        <v>43594</v>
      </c>
      <c r="D1075" s="6">
        <v>1</v>
      </c>
      <c r="E1075" s="6">
        <v>2170685892</v>
      </c>
      <c r="F1075" s="6" t="s">
        <v>16</v>
      </c>
      <c r="G1075" s="6" t="s">
        <v>17</v>
      </c>
      <c r="H1075" s="6" t="s">
        <v>17</v>
      </c>
      <c r="I1075" s="6" t="s">
        <v>18</v>
      </c>
      <c r="J1075" s="6" t="s">
        <v>19</v>
      </c>
      <c r="K1075" s="7">
        <v>43595</v>
      </c>
      <c r="L1075" s="8">
        <v>0.40833333333333338</v>
      </c>
      <c r="M1075" s="6" t="s">
        <v>1694</v>
      </c>
      <c r="N1075" s="6" t="s">
        <v>21</v>
      </c>
      <c r="O1075" s="6" t="s">
        <v>22</v>
      </c>
    </row>
    <row r="1076" spans="1:15">
      <c r="A1076" s="6" t="s">
        <v>15</v>
      </c>
      <c r="B1076" s="6" t="str">
        <f>"FES1162688806"</f>
        <v>FES1162688806</v>
      </c>
      <c r="C1076" s="7">
        <v>43594</v>
      </c>
      <c r="D1076" s="6">
        <v>1</v>
      </c>
      <c r="E1076" s="6">
        <v>2170685087</v>
      </c>
      <c r="F1076" s="6" t="s">
        <v>16</v>
      </c>
      <c r="G1076" s="6" t="s">
        <v>17</v>
      </c>
      <c r="H1076" s="6" t="s">
        <v>17</v>
      </c>
      <c r="I1076" s="6" t="s">
        <v>18</v>
      </c>
      <c r="J1076" s="6" t="s">
        <v>19</v>
      </c>
      <c r="K1076" s="7">
        <v>43595</v>
      </c>
      <c r="L1076" s="8">
        <v>0.4069444444444445</v>
      </c>
      <c r="M1076" s="6" t="s">
        <v>1904</v>
      </c>
      <c r="N1076" s="6" t="s">
        <v>21</v>
      </c>
      <c r="O1076" s="6" t="s">
        <v>22</v>
      </c>
    </row>
    <row r="1077" spans="1:15" hidden="1">
      <c r="A1077" t="s">
        <v>15</v>
      </c>
      <c r="B1077" t="str">
        <f>"FES1162688825"</f>
        <v>FES1162688825</v>
      </c>
      <c r="C1077" s="9">
        <v>43594</v>
      </c>
      <c r="D1077">
        <v>1</v>
      </c>
      <c r="E1077">
        <v>2170685604</v>
      </c>
      <c r="F1077" t="s">
        <v>16</v>
      </c>
      <c r="G1077" t="s">
        <v>17</v>
      </c>
      <c r="H1077" t="s">
        <v>141</v>
      </c>
      <c r="I1077" t="s">
        <v>142</v>
      </c>
      <c r="J1077" t="s">
        <v>627</v>
      </c>
      <c r="K1077" s="9">
        <v>43595</v>
      </c>
      <c r="L1077" s="10">
        <v>0.41666666666666669</v>
      </c>
      <c r="M1077" t="s">
        <v>1905</v>
      </c>
      <c r="N1077" t="s">
        <v>1906</v>
      </c>
      <c r="O1077" t="s">
        <v>22</v>
      </c>
    </row>
    <row r="1078" spans="1:15" hidden="1">
      <c r="A1078" t="s">
        <v>15</v>
      </c>
      <c r="B1078" t="str">
        <f>"FES1162688697"</f>
        <v>FES1162688697</v>
      </c>
      <c r="C1078" s="9">
        <v>43594</v>
      </c>
      <c r="D1078">
        <v>1</v>
      </c>
      <c r="E1078">
        <v>2170683285</v>
      </c>
      <c r="F1078" t="s">
        <v>16</v>
      </c>
      <c r="G1078" t="s">
        <v>17</v>
      </c>
      <c r="H1078" t="s">
        <v>141</v>
      </c>
      <c r="I1078" t="s">
        <v>185</v>
      </c>
      <c r="J1078" t="s">
        <v>1907</v>
      </c>
      <c r="K1078" s="9">
        <v>43595</v>
      </c>
      <c r="L1078" s="10">
        <v>0.42708333333333331</v>
      </c>
      <c r="M1078" t="s">
        <v>1908</v>
      </c>
      <c r="N1078" t="s">
        <v>1909</v>
      </c>
      <c r="O1078" t="s">
        <v>22</v>
      </c>
    </row>
    <row r="1079" spans="1:15" hidden="1">
      <c r="A1079" t="s">
        <v>15</v>
      </c>
      <c r="B1079" t="str">
        <f>"FES1162688698"</f>
        <v>FES1162688698</v>
      </c>
      <c r="C1079" s="9">
        <v>43594</v>
      </c>
      <c r="D1079">
        <v>1</v>
      </c>
      <c r="E1079">
        <v>2170683365</v>
      </c>
      <c r="F1079" t="s">
        <v>16</v>
      </c>
      <c r="G1079" t="s">
        <v>17</v>
      </c>
      <c r="H1079" t="s">
        <v>141</v>
      </c>
      <c r="I1079" t="s">
        <v>142</v>
      </c>
      <c r="J1079" t="s">
        <v>880</v>
      </c>
      <c r="K1079" s="9">
        <v>43595</v>
      </c>
      <c r="L1079" s="10">
        <v>0.39513888888888887</v>
      </c>
      <c r="M1079" t="s">
        <v>1910</v>
      </c>
      <c r="N1079" t="s">
        <v>1911</v>
      </c>
      <c r="O1079" t="s">
        <v>22</v>
      </c>
    </row>
    <row r="1080" spans="1:15" hidden="1">
      <c r="A1080" t="s">
        <v>15</v>
      </c>
      <c r="B1080" t="str">
        <f>"FES1162688840"</f>
        <v>FES1162688840</v>
      </c>
      <c r="C1080" s="9">
        <v>43594</v>
      </c>
      <c r="D1080">
        <v>1</v>
      </c>
      <c r="E1080">
        <v>2170685746</v>
      </c>
      <c r="F1080" t="s">
        <v>16</v>
      </c>
      <c r="G1080" t="s">
        <v>17</v>
      </c>
      <c r="H1080" t="s">
        <v>141</v>
      </c>
      <c r="I1080" t="s">
        <v>142</v>
      </c>
      <c r="J1080" t="s">
        <v>228</v>
      </c>
      <c r="K1080" s="9">
        <v>43595</v>
      </c>
      <c r="L1080" s="10">
        <v>0.38611111111111113</v>
      </c>
      <c r="M1080" t="s">
        <v>229</v>
      </c>
      <c r="N1080" t="s">
        <v>1912</v>
      </c>
      <c r="O1080" t="s">
        <v>22</v>
      </c>
    </row>
    <row r="1081" spans="1:15" hidden="1">
      <c r="A1081" t="s">
        <v>15</v>
      </c>
      <c r="B1081" t="str">
        <f>"FES1162688721"</f>
        <v>FES1162688721</v>
      </c>
      <c r="C1081" s="9">
        <v>43594</v>
      </c>
      <c r="D1081">
        <v>1</v>
      </c>
      <c r="E1081">
        <v>2170685475</v>
      </c>
      <c r="F1081" t="s">
        <v>16</v>
      </c>
      <c r="G1081" t="s">
        <v>17</v>
      </c>
      <c r="H1081" t="s">
        <v>290</v>
      </c>
      <c r="I1081" t="s">
        <v>291</v>
      </c>
      <c r="J1081" t="s">
        <v>1913</v>
      </c>
      <c r="K1081" s="9">
        <v>43595</v>
      </c>
      <c r="L1081" s="10">
        <v>0.3611111111111111</v>
      </c>
      <c r="M1081" t="s">
        <v>1914</v>
      </c>
      <c r="N1081" t="s">
        <v>1915</v>
      </c>
      <c r="O1081" t="s">
        <v>22</v>
      </c>
    </row>
    <row r="1082" spans="1:15" hidden="1">
      <c r="A1082" t="s">
        <v>15</v>
      </c>
      <c r="B1082" t="str">
        <f>"FES1162688758"</f>
        <v>FES1162688758</v>
      </c>
      <c r="C1082" s="9">
        <v>43594</v>
      </c>
      <c r="D1082">
        <v>1</v>
      </c>
      <c r="E1082">
        <v>2170687478</v>
      </c>
      <c r="F1082" t="s">
        <v>16</v>
      </c>
      <c r="G1082" t="s">
        <v>17</v>
      </c>
      <c r="H1082" t="s">
        <v>141</v>
      </c>
      <c r="I1082" t="s">
        <v>185</v>
      </c>
      <c r="J1082" t="s">
        <v>1916</v>
      </c>
      <c r="K1082" s="9">
        <v>43595</v>
      </c>
      <c r="L1082" s="10">
        <v>0.41388888888888892</v>
      </c>
      <c r="M1082" t="s">
        <v>1917</v>
      </c>
      <c r="N1082" t="s">
        <v>1918</v>
      </c>
      <c r="O1082" t="s">
        <v>22</v>
      </c>
    </row>
    <row r="1083" spans="1:15" hidden="1">
      <c r="A1083" t="s">
        <v>15</v>
      </c>
      <c r="B1083" t="str">
        <f>"FES1162688771"</f>
        <v>FES1162688771</v>
      </c>
      <c r="C1083" s="9">
        <v>43594</v>
      </c>
      <c r="D1083">
        <v>1</v>
      </c>
      <c r="E1083">
        <v>2170685773</v>
      </c>
      <c r="F1083" t="s">
        <v>16</v>
      </c>
      <c r="G1083" t="s">
        <v>17</v>
      </c>
      <c r="H1083" t="s">
        <v>141</v>
      </c>
      <c r="I1083" t="s">
        <v>185</v>
      </c>
      <c r="J1083" t="s">
        <v>503</v>
      </c>
      <c r="K1083" s="9">
        <v>43595</v>
      </c>
      <c r="L1083" s="10">
        <v>0.3972222222222222</v>
      </c>
      <c r="M1083" t="s">
        <v>1355</v>
      </c>
      <c r="N1083" t="s">
        <v>1919</v>
      </c>
      <c r="O1083" t="s">
        <v>22</v>
      </c>
    </row>
    <row r="1084" spans="1:15" hidden="1">
      <c r="A1084" t="s">
        <v>15</v>
      </c>
      <c r="B1084" t="str">
        <f>"FES1162688744"</f>
        <v>FES1162688744</v>
      </c>
      <c r="C1084" s="9">
        <v>43594</v>
      </c>
      <c r="D1084">
        <v>3</v>
      </c>
      <c r="E1084">
        <v>2170687319</v>
      </c>
      <c r="F1084" t="s">
        <v>16</v>
      </c>
      <c r="G1084" t="s">
        <v>17</v>
      </c>
      <c r="H1084" t="s">
        <v>32</v>
      </c>
      <c r="I1084" t="s">
        <v>33</v>
      </c>
      <c r="J1084" t="s">
        <v>1438</v>
      </c>
      <c r="K1084" s="9">
        <v>43598</v>
      </c>
      <c r="L1084" s="10">
        <v>0.37152777777777773</v>
      </c>
      <c r="M1084" t="s">
        <v>1439</v>
      </c>
      <c r="N1084" t="s">
        <v>1920</v>
      </c>
      <c r="O1084" t="s">
        <v>22</v>
      </c>
    </row>
    <row r="1085" spans="1:15" hidden="1">
      <c r="A1085" t="s">
        <v>15</v>
      </c>
      <c r="B1085" t="str">
        <f>"FES1162688694"</f>
        <v>FES1162688694</v>
      </c>
      <c r="C1085" s="9">
        <v>43594</v>
      </c>
      <c r="D1085">
        <v>1</v>
      </c>
      <c r="E1085">
        <v>2170683171</v>
      </c>
      <c r="F1085" t="s">
        <v>16</v>
      </c>
      <c r="G1085" t="s">
        <v>17</v>
      </c>
      <c r="H1085" t="s">
        <v>141</v>
      </c>
      <c r="I1085" t="s">
        <v>1921</v>
      </c>
      <c r="J1085" t="s">
        <v>1922</v>
      </c>
      <c r="K1085" s="9">
        <v>43595</v>
      </c>
      <c r="L1085" s="10">
        <v>0.3576388888888889</v>
      </c>
      <c r="M1085" t="s">
        <v>1923</v>
      </c>
      <c r="N1085" t="s">
        <v>1924</v>
      </c>
      <c r="O1085" t="s">
        <v>22</v>
      </c>
    </row>
    <row r="1086" spans="1:15" hidden="1">
      <c r="A1086" t="s">
        <v>15</v>
      </c>
      <c r="B1086" t="str">
        <f>"FES1162686971"</f>
        <v>FES1162686971</v>
      </c>
      <c r="C1086" s="9">
        <v>43594</v>
      </c>
      <c r="D1086">
        <v>1</v>
      </c>
      <c r="E1086">
        <v>2170684278</v>
      </c>
      <c r="F1086" t="s">
        <v>16</v>
      </c>
      <c r="G1086" t="s">
        <v>17</v>
      </c>
      <c r="H1086" t="s">
        <v>290</v>
      </c>
      <c r="I1086" t="s">
        <v>291</v>
      </c>
      <c r="J1086" t="s">
        <v>1925</v>
      </c>
      <c r="K1086" s="9">
        <v>43595</v>
      </c>
      <c r="L1086" s="10">
        <v>0.36805555555555558</v>
      </c>
      <c r="M1086" t="s">
        <v>1926</v>
      </c>
      <c r="N1086" t="s">
        <v>1927</v>
      </c>
      <c r="O1086" t="s">
        <v>22</v>
      </c>
    </row>
    <row r="1087" spans="1:15" hidden="1">
      <c r="A1087" t="s">
        <v>15</v>
      </c>
      <c r="B1087" t="str">
        <f>"FES1162689092"</f>
        <v>FES1162689092</v>
      </c>
      <c r="C1087" s="9">
        <v>43594</v>
      </c>
      <c r="D1087">
        <v>1</v>
      </c>
      <c r="E1087">
        <v>2170685825</v>
      </c>
      <c r="F1087" t="s">
        <v>16</v>
      </c>
      <c r="G1087" t="s">
        <v>17</v>
      </c>
      <c r="H1087" t="s">
        <v>43</v>
      </c>
      <c r="I1087" t="s">
        <v>44</v>
      </c>
      <c r="J1087" t="s">
        <v>742</v>
      </c>
      <c r="K1087" s="9">
        <v>43595</v>
      </c>
      <c r="L1087" s="10">
        <v>0.41666666666666669</v>
      </c>
      <c r="M1087" t="s">
        <v>1928</v>
      </c>
      <c r="N1087" t="s">
        <v>1929</v>
      </c>
      <c r="O1087" t="s">
        <v>22</v>
      </c>
    </row>
    <row r="1088" spans="1:15" hidden="1">
      <c r="A1088" t="s">
        <v>15</v>
      </c>
      <c r="B1088" t="str">
        <f>"FES1162688953"</f>
        <v>FES1162688953</v>
      </c>
      <c r="C1088" s="9">
        <v>43594</v>
      </c>
      <c r="D1088">
        <v>1</v>
      </c>
      <c r="E1088">
        <v>2170686805</v>
      </c>
      <c r="F1088" t="s">
        <v>16</v>
      </c>
      <c r="G1088" t="s">
        <v>17</v>
      </c>
      <c r="H1088" t="s">
        <v>132</v>
      </c>
      <c r="I1088" t="s">
        <v>838</v>
      </c>
      <c r="J1088" t="s">
        <v>839</v>
      </c>
      <c r="K1088" s="9">
        <v>43595</v>
      </c>
      <c r="L1088" s="10">
        <v>0.46527777777777773</v>
      </c>
      <c r="M1088" t="s">
        <v>839</v>
      </c>
      <c r="N1088" t="s">
        <v>1930</v>
      </c>
      <c r="O1088" t="s">
        <v>22</v>
      </c>
    </row>
    <row r="1089" spans="1:15" hidden="1">
      <c r="A1089" t="s">
        <v>15</v>
      </c>
      <c r="B1089" t="str">
        <f>"FES1162688792"</f>
        <v>FES1162688792</v>
      </c>
      <c r="C1089" s="9">
        <v>43594</v>
      </c>
      <c r="D1089">
        <v>1</v>
      </c>
      <c r="E1089">
        <v>2170687503</v>
      </c>
      <c r="F1089" t="s">
        <v>16</v>
      </c>
      <c r="G1089" t="s">
        <v>17</v>
      </c>
      <c r="H1089" t="s">
        <v>132</v>
      </c>
      <c r="I1089" t="s">
        <v>133</v>
      </c>
      <c r="J1089" t="s">
        <v>639</v>
      </c>
      <c r="K1089" s="9">
        <v>43595</v>
      </c>
      <c r="L1089" s="10">
        <v>0.3743055555555555</v>
      </c>
      <c r="M1089" t="s">
        <v>1931</v>
      </c>
      <c r="N1089" t="s">
        <v>1932</v>
      </c>
      <c r="O1089" t="s">
        <v>22</v>
      </c>
    </row>
    <row r="1090" spans="1:15">
      <c r="A1090" s="6" t="s">
        <v>15</v>
      </c>
      <c r="B1090" s="6" t="str">
        <f>"FES1162688925"</f>
        <v>FES1162688925</v>
      </c>
      <c r="C1090" s="7">
        <v>43594</v>
      </c>
      <c r="D1090" s="6">
        <v>1</v>
      </c>
      <c r="E1090" s="6">
        <v>2170687524</v>
      </c>
      <c r="F1090" s="6" t="s">
        <v>16</v>
      </c>
      <c r="G1090" s="6" t="s">
        <v>17</v>
      </c>
      <c r="H1090" s="6" t="s">
        <v>17</v>
      </c>
      <c r="I1090" s="6" t="s">
        <v>18</v>
      </c>
      <c r="J1090" s="6" t="s">
        <v>19</v>
      </c>
      <c r="K1090" s="7">
        <v>43595</v>
      </c>
      <c r="L1090" s="8">
        <v>0.4069444444444445</v>
      </c>
      <c r="M1090" s="6" t="s">
        <v>100</v>
      </c>
      <c r="N1090" s="6" t="s">
        <v>21</v>
      </c>
      <c r="O1090" s="6" t="s">
        <v>22</v>
      </c>
    </row>
    <row r="1091" spans="1:15">
      <c r="A1091" s="6" t="s">
        <v>15</v>
      </c>
      <c r="B1091" s="6" t="str">
        <f>"FES1162689086"</f>
        <v>FES1162689086</v>
      </c>
      <c r="C1091" s="7">
        <v>43594</v>
      </c>
      <c r="D1091" s="6">
        <v>1</v>
      </c>
      <c r="E1091" s="6">
        <v>21706873078</v>
      </c>
      <c r="F1091" s="6" t="s">
        <v>16</v>
      </c>
      <c r="G1091" s="6" t="s">
        <v>17</v>
      </c>
      <c r="H1091" s="6" t="s">
        <v>17</v>
      </c>
      <c r="I1091" s="6" t="s">
        <v>148</v>
      </c>
      <c r="J1091" s="6" t="s">
        <v>153</v>
      </c>
      <c r="K1091" s="7">
        <v>43595</v>
      </c>
      <c r="L1091" s="8">
        <v>0.43055555555555558</v>
      </c>
      <c r="M1091" s="6" t="s">
        <v>712</v>
      </c>
      <c r="N1091" s="6" t="s">
        <v>21</v>
      </c>
      <c r="O1091" s="6" t="s">
        <v>22</v>
      </c>
    </row>
    <row r="1092" spans="1:15" hidden="1">
      <c r="A1092" t="s">
        <v>15</v>
      </c>
      <c r="B1092" t="str">
        <f>"FES1162688963"</f>
        <v>FES1162688963</v>
      </c>
      <c r="C1092" s="9">
        <v>43594</v>
      </c>
      <c r="D1092">
        <v>1</v>
      </c>
      <c r="E1092">
        <v>2170687344</v>
      </c>
      <c r="F1092" t="s">
        <v>16</v>
      </c>
      <c r="G1092" t="s">
        <v>17</v>
      </c>
      <c r="H1092" t="s">
        <v>141</v>
      </c>
      <c r="I1092" t="s">
        <v>142</v>
      </c>
      <c r="J1092" t="s">
        <v>213</v>
      </c>
      <c r="K1092" s="9">
        <v>43595</v>
      </c>
      <c r="L1092" s="10">
        <v>0.39027777777777778</v>
      </c>
      <c r="M1092" t="s">
        <v>214</v>
      </c>
      <c r="N1092" t="s">
        <v>1933</v>
      </c>
      <c r="O1092" t="s">
        <v>22</v>
      </c>
    </row>
    <row r="1093" spans="1:15" hidden="1">
      <c r="A1093" t="s">
        <v>15</v>
      </c>
      <c r="B1093" t="str">
        <f>"FES1162688793"</f>
        <v>FES1162688793</v>
      </c>
      <c r="C1093" s="9">
        <v>43594</v>
      </c>
      <c r="D1093">
        <v>1</v>
      </c>
      <c r="E1093">
        <v>2170680049</v>
      </c>
      <c r="F1093" t="s">
        <v>16</v>
      </c>
      <c r="G1093" t="s">
        <v>17</v>
      </c>
      <c r="H1093" t="s">
        <v>132</v>
      </c>
      <c r="I1093" t="s">
        <v>133</v>
      </c>
      <c r="J1093" t="s">
        <v>846</v>
      </c>
      <c r="K1093" s="9">
        <v>43595</v>
      </c>
      <c r="L1093" s="10">
        <v>0.42777777777777781</v>
      </c>
      <c r="M1093" t="s">
        <v>1934</v>
      </c>
      <c r="N1093" t="s">
        <v>1935</v>
      </c>
      <c r="O1093" t="s">
        <v>22</v>
      </c>
    </row>
    <row r="1094" spans="1:15" hidden="1">
      <c r="A1094" t="s">
        <v>15</v>
      </c>
      <c r="B1094" t="str">
        <f>"FES1162688959"</f>
        <v>FES1162688959</v>
      </c>
      <c r="C1094" s="9">
        <v>43594</v>
      </c>
      <c r="D1094">
        <v>1</v>
      </c>
      <c r="E1094">
        <v>2170687180</v>
      </c>
      <c r="F1094" t="s">
        <v>16</v>
      </c>
      <c r="G1094" t="s">
        <v>17</v>
      </c>
      <c r="H1094" t="s">
        <v>132</v>
      </c>
      <c r="I1094" t="s">
        <v>1806</v>
      </c>
      <c r="J1094" t="s">
        <v>1807</v>
      </c>
      <c r="K1094" s="9">
        <v>43595</v>
      </c>
      <c r="L1094" s="10">
        <v>0.45833333333333331</v>
      </c>
      <c r="M1094" t="s">
        <v>1808</v>
      </c>
      <c r="N1094" t="s">
        <v>1936</v>
      </c>
      <c r="O1094" t="s">
        <v>22</v>
      </c>
    </row>
    <row r="1095" spans="1:15" hidden="1">
      <c r="A1095" t="s">
        <v>15</v>
      </c>
      <c r="B1095" t="str">
        <f>"FES1162688964"</f>
        <v>FES1162688964</v>
      </c>
      <c r="C1095" s="9">
        <v>43594</v>
      </c>
      <c r="D1095">
        <v>1</v>
      </c>
      <c r="E1095">
        <v>2170687367</v>
      </c>
      <c r="F1095" t="s">
        <v>16</v>
      </c>
      <c r="G1095" t="s">
        <v>17</v>
      </c>
      <c r="H1095" t="s">
        <v>141</v>
      </c>
      <c r="I1095" t="s">
        <v>185</v>
      </c>
      <c r="J1095" t="s">
        <v>1011</v>
      </c>
      <c r="K1095" s="9">
        <v>43595</v>
      </c>
      <c r="L1095" s="10">
        <v>0.3354166666666667</v>
      </c>
      <c r="M1095" t="s">
        <v>1012</v>
      </c>
      <c r="N1095" t="s">
        <v>1937</v>
      </c>
      <c r="O1095" t="s">
        <v>22</v>
      </c>
    </row>
    <row r="1096" spans="1:15">
      <c r="A1096" s="6" t="s">
        <v>15</v>
      </c>
      <c r="B1096" s="6" t="str">
        <f>"FES1162688981"</f>
        <v>FES1162688981</v>
      </c>
      <c r="C1096" s="7">
        <v>43594</v>
      </c>
      <c r="D1096" s="6">
        <v>1</v>
      </c>
      <c r="E1096" s="6">
        <v>2170687569</v>
      </c>
      <c r="F1096" s="6" t="s">
        <v>16</v>
      </c>
      <c r="G1096" s="6" t="s">
        <v>17</v>
      </c>
      <c r="H1096" s="6" t="s">
        <v>17</v>
      </c>
      <c r="I1096" s="6" t="s">
        <v>103</v>
      </c>
      <c r="J1096" s="6" t="s">
        <v>1938</v>
      </c>
      <c r="K1096" s="7">
        <v>43595</v>
      </c>
      <c r="L1096" s="8">
        <v>0.40902777777777777</v>
      </c>
      <c r="M1096" s="6" t="s">
        <v>1939</v>
      </c>
      <c r="N1096" s="6" t="s">
        <v>21</v>
      </c>
      <c r="O1096" s="6" t="s">
        <v>22</v>
      </c>
    </row>
    <row r="1097" spans="1:15" hidden="1">
      <c r="A1097" t="s">
        <v>15</v>
      </c>
      <c r="B1097" t="str">
        <f>"FES1162688754"</f>
        <v>FES1162688754</v>
      </c>
      <c r="C1097" s="9">
        <v>43594</v>
      </c>
      <c r="D1097">
        <v>1</v>
      </c>
      <c r="E1097">
        <v>2170687470</v>
      </c>
      <c r="F1097" t="s">
        <v>16</v>
      </c>
      <c r="G1097" t="s">
        <v>17</v>
      </c>
      <c r="H1097" t="s">
        <v>37</v>
      </c>
      <c r="I1097" t="s">
        <v>38</v>
      </c>
      <c r="J1097" t="s">
        <v>766</v>
      </c>
      <c r="K1097" s="9">
        <v>43595</v>
      </c>
      <c r="L1097" s="10">
        <v>0.36180555555555555</v>
      </c>
      <c r="M1097" t="s">
        <v>1827</v>
      </c>
      <c r="N1097" t="s">
        <v>1940</v>
      </c>
      <c r="O1097" t="s">
        <v>22</v>
      </c>
    </row>
    <row r="1098" spans="1:15" hidden="1">
      <c r="A1098" t="s">
        <v>15</v>
      </c>
      <c r="B1098" t="str">
        <f>"FES1162688865"</f>
        <v>FES1162688865</v>
      </c>
      <c r="C1098" s="9">
        <v>43594</v>
      </c>
      <c r="D1098">
        <v>1</v>
      </c>
      <c r="E1098">
        <v>2170685911</v>
      </c>
      <c r="F1098" t="s">
        <v>16</v>
      </c>
      <c r="G1098" t="s">
        <v>17</v>
      </c>
      <c r="H1098" t="s">
        <v>32</v>
      </c>
      <c r="I1098" t="s">
        <v>33</v>
      </c>
      <c r="J1098" t="s">
        <v>34</v>
      </c>
      <c r="K1098" s="9">
        <v>43595</v>
      </c>
      <c r="L1098" s="10">
        <v>0.34722222222222227</v>
      </c>
      <c r="M1098" t="s">
        <v>35</v>
      </c>
      <c r="N1098" t="s">
        <v>1941</v>
      </c>
      <c r="O1098" t="s">
        <v>22</v>
      </c>
    </row>
    <row r="1099" spans="1:15" hidden="1">
      <c r="A1099" t="s">
        <v>15</v>
      </c>
      <c r="B1099" t="str">
        <f>"FES1162688780"</f>
        <v>FES1162688780</v>
      </c>
      <c r="C1099" s="9">
        <v>43594</v>
      </c>
      <c r="D1099">
        <v>1</v>
      </c>
      <c r="E1099">
        <v>2170687003</v>
      </c>
      <c r="F1099" t="s">
        <v>16</v>
      </c>
      <c r="G1099" t="s">
        <v>17</v>
      </c>
      <c r="H1099" t="s">
        <v>132</v>
      </c>
      <c r="I1099" t="s">
        <v>133</v>
      </c>
      <c r="J1099" t="s">
        <v>238</v>
      </c>
      <c r="K1099" s="9">
        <v>43595</v>
      </c>
      <c r="L1099" s="10">
        <v>0.33680555555555558</v>
      </c>
      <c r="M1099" t="s">
        <v>1942</v>
      </c>
      <c r="N1099" t="s">
        <v>1943</v>
      </c>
      <c r="O1099" t="s">
        <v>22</v>
      </c>
    </row>
    <row r="1100" spans="1:15" hidden="1">
      <c r="A1100" t="s">
        <v>15</v>
      </c>
      <c r="B1100" t="str">
        <f>"FES1162688945"</f>
        <v>FES1162688945</v>
      </c>
      <c r="C1100" s="9">
        <v>43594</v>
      </c>
      <c r="D1100">
        <v>1</v>
      </c>
      <c r="E1100">
        <v>2170687547</v>
      </c>
      <c r="F1100" t="s">
        <v>16</v>
      </c>
      <c r="G1100" t="s">
        <v>17</v>
      </c>
      <c r="H1100" t="s">
        <v>141</v>
      </c>
      <c r="I1100" t="s">
        <v>433</v>
      </c>
      <c r="J1100" t="s">
        <v>1684</v>
      </c>
      <c r="K1100" s="9">
        <v>43595</v>
      </c>
      <c r="L1100" s="10">
        <v>0.43055555555555558</v>
      </c>
      <c r="M1100" t="s">
        <v>1685</v>
      </c>
      <c r="N1100" t="s">
        <v>1944</v>
      </c>
      <c r="O1100" t="s">
        <v>22</v>
      </c>
    </row>
    <row r="1101" spans="1:15" hidden="1">
      <c r="A1101" t="s">
        <v>15</v>
      </c>
      <c r="B1101" t="str">
        <f>"FES1162688965"</f>
        <v>FES1162688965</v>
      </c>
      <c r="C1101" s="9">
        <v>43594</v>
      </c>
      <c r="D1101">
        <v>1</v>
      </c>
      <c r="E1101">
        <v>2170687375</v>
      </c>
      <c r="F1101" t="s">
        <v>16</v>
      </c>
      <c r="G1101" t="s">
        <v>17</v>
      </c>
      <c r="H1101" t="s">
        <v>141</v>
      </c>
      <c r="I1101" t="s">
        <v>185</v>
      </c>
      <c r="J1101" t="s">
        <v>1011</v>
      </c>
      <c r="K1101" s="9">
        <v>43595</v>
      </c>
      <c r="L1101" s="10">
        <v>0.3354166666666667</v>
      </c>
      <c r="M1101" t="s">
        <v>1012</v>
      </c>
      <c r="N1101" t="s">
        <v>1945</v>
      </c>
      <c r="O1101" t="s">
        <v>22</v>
      </c>
    </row>
    <row r="1102" spans="1:15" hidden="1">
      <c r="A1102" t="s">
        <v>15</v>
      </c>
      <c r="B1102" t="str">
        <f>"FES1162688781"</f>
        <v>FES1162688781</v>
      </c>
      <c r="C1102" s="9">
        <v>43594</v>
      </c>
      <c r="D1102">
        <v>1</v>
      </c>
      <c r="E1102">
        <v>2170687094</v>
      </c>
      <c r="F1102" t="s">
        <v>16</v>
      </c>
      <c r="G1102" t="s">
        <v>17</v>
      </c>
      <c r="H1102" t="s">
        <v>132</v>
      </c>
      <c r="I1102" t="s">
        <v>137</v>
      </c>
      <c r="J1102" t="s">
        <v>138</v>
      </c>
      <c r="K1102" s="9">
        <v>43595</v>
      </c>
      <c r="L1102" s="10">
        <v>0.5</v>
      </c>
      <c r="M1102" t="s">
        <v>1946</v>
      </c>
      <c r="N1102" t="s">
        <v>1947</v>
      </c>
      <c r="O1102" t="s">
        <v>22</v>
      </c>
    </row>
    <row r="1103" spans="1:15" hidden="1">
      <c r="A1103" t="s">
        <v>15</v>
      </c>
      <c r="B1103" t="str">
        <f>"FES1162688876"</f>
        <v>FES1162688876</v>
      </c>
      <c r="C1103" s="9">
        <v>43594</v>
      </c>
      <c r="D1103">
        <v>1</v>
      </c>
      <c r="E1103">
        <v>2170686086</v>
      </c>
      <c r="F1103" t="s">
        <v>16</v>
      </c>
      <c r="G1103" t="s">
        <v>17</v>
      </c>
      <c r="H1103" t="s">
        <v>132</v>
      </c>
      <c r="I1103" t="s">
        <v>133</v>
      </c>
      <c r="J1103" t="s">
        <v>182</v>
      </c>
      <c r="K1103" s="9">
        <v>43595</v>
      </c>
      <c r="L1103" s="10">
        <v>0.40208333333333335</v>
      </c>
      <c r="M1103" t="s">
        <v>183</v>
      </c>
      <c r="N1103" t="s">
        <v>1948</v>
      </c>
      <c r="O1103" t="s">
        <v>22</v>
      </c>
    </row>
    <row r="1104" spans="1:15" hidden="1">
      <c r="A1104" t="s">
        <v>15</v>
      </c>
      <c r="B1104" t="str">
        <f>"FES1162688955"</f>
        <v>FES1162688955</v>
      </c>
      <c r="C1104" s="9">
        <v>43594</v>
      </c>
      <c r="D1104">
        <v>1</v>
      </c>
      <c r="E1104">
        <v>2170686937</v>
      </c>
      <c r="F1104" t="s">
        <v>16</v>
      </c>
      <c r="G1104" t="s">
        <v>17</v>
      </c>
      <c r="H1104" t="s">
        <v>141</v>
      </c>
      <c r="I1104" t="s">
        <v>142</v>
      </c>
      <c r="J1104" t="s">
        <v>228</v>
      </c>
      <c r="K1104" s="9">
        <v>43595</v>
      </c>
      <c r="L1104" s="10">
        <v>0.38611111111111113</v>
      </c>
      <c r="M1104" t="s">
        <v>229</v>
      </c>
      <c r="N1104" t="s">
        <v>1949</v>
      </c>
      <c r="O1104" t="s">
        <v>22</v>
      </c>
    </row>
    <row r="1105" spans="1:15" hidden="1">
      <c r="A1105" t="s">
        <v>15</v>
      </c>
      <c r="B1105" t="str">
        <f>"FES1162688736"</f>
        <v>FES1162688736</v>
      </c>
      <c r="C1105" s="9">
        <v>43594</v>
      </c>
      <c r="D1105">
        <v>1</v>
      </c>
      <c r="E1105">
        <v>2170687126</v>
      </c>
      <c r="F1105" t="s">
        <v>16</v>
      </c>
      <c r="G1105" t="s">
        <v>17</v>
      </c>
      <c r="H1105" t="s">
        <v>141</v>
      </c>
      <c r="I1105" t="s">
        <v>1950</v>
      </c>
      <c r="J1105" t="s">
        <v>578</v>
      </c>
      <c r="K1105" s="9">
        <v>43595</v>
      </c>
      <c r="L1105" s="10">
        <v>0.7055555555555556</v>
      </c>
      <c r="M1105" t="s">
        <v>1951</v>
      </c>
      <c r="N1105" t="s">
        <v>1952</v>
      </c>
      <c r="O1105" t="s">
        <v>22</v>
      </c>
    </row>
    <row r="1106" spans="1:15" hidden="1">
      <c r="A1106" t="s">
        <v>15</v>
      </c>
      <c r="B1106" t="str">
        <f>"FES1162688813"</f>
        <v>FES1162688813</v>
      </c>
      <c r="C1106" s="9">
        <v>43594</v>
      </c>
      <c r="D1106">
        <v>1</v>
      </c>
      <c r="E1106">
        <v>2170685498</v>
      </c>
      <c r="F1106" t="s">
        <v>16</v>
      </c>
      <c r="G1106" t="s">
        <v>17</v>
      </c>
      <c r="H1106" t="s">
        <v>132</v>
      </c>
      <c r="I1106" t="s">
        <v>133</v>
      </c>
      <c r="J1106" t="s">
        <v>189</v>
      </c>
      <c r="K1106" s="9">
        <v>43595</v>
      </c>
      <c r="L1106" s="10">
        <v>0.44722222222222219</v>
      </c>
      <c r="M1106" t="s">
        <v>1953</v>
      </c>
      <c r="N1106" t="s">
        <v>1954</v>
      </c>
      <c r="O1106" t="s">
        <v>22</v>
      </c>
    </row>
    <row r="1107" spans="1:15" hidden="1">
      <c r="A1107" t="s">
        <v>15</v>
      </c>
      <c r="B1107" t="str">
        <f>"FES1162688700"</f>
        <v>FES1162688700</v>
      </c>
      <c r="C1107" s="9">
        <v>43594</v>
      </c>
      <c r="D1107">
        <v>1</v>
      </c>
      <c r="E1107">
        <v>2170683409</v>
      </c>
      <c r="F1107" t="s">
        <v>16</v>
      </c>
      <c r="G1107" t="s">
        <v>17</v>
      </c>
      <c r="H1107" t="s">
        <v>141</v>
      </c>
      <c r="I1107" t="s">
        <v>142</v>
      </c>
      <c r="J1107" t="s">
        <v>1955</v>
      </c>
      <c r="K1107" s="9">
        <v>43595</v>
      </c>
      <c r="L1107" s="10">
        <v>0.33124999999999999</v>
      </c>
      <c r="M1107" t="s">
        <v>1956</v>
      </c>
      <c r="N1107" t="s">
        <v>1957</v>
      </c>
      <c r="O1107" t="s">
        <v>22</v>
      </c>
    </row>
    <row r="1108" spans="1:15" hidden="1">
      <c r="A1108" t="s">
        <v>15</v>
      </c>
      <c r="B1108" t="str">
        <f>"FES1162688814"</f>
        <v>FES1162688814</v>
      </c>
      <c r="C1108" s="9">
        <v>43594</v>
      </c>
      <c r="D1108">
        <v>1</v>
      </c>
      <c r="E1108">
        <v>2170685508</v>
      </c>
      <c r="F1108" t="s">
        <v>16</v>
      </c>
      <c r="G1108" t="s">
        <v>17</v>
      </c>
      <c r="H1108" t="s">
        <v>43</v>
      </c>
      <c r="I1108" t="s">
        <v>54</v>
      </c>
      <c r="J1108" t="s">
        <v>216</v>
      </c>
      <c r="K1108" s="9">
        <v>43595</v>
      </c>
      <c r="L1108" s="10">
        <v>0.41666666666666669</v>
      </c>
      <c r="M1108" t="s">
        <v>1443</v>
      </c>
      <c r="N1108" t="s">
        <v>1958</v>
      </c>
      <c r="O1108" t="s">
        <v>22</v>
      </c>
    </row>
    <row r="1109" spans="1:15" hidden="1">
      <c r="A1109" t="s">
        <v>15</v>
      </c>
      <c r="B1109" t="str">
        <f>"FES1162688866"</f>
        <v>FES1162688866</v>
      </c>
      <c r="C1109" s="9">
        <v>43594</v>
      </c>
      <c r="D1109">
        <v>1</v>
      </c>
      <c r="E1109">
        <v>2170685913</v>
      </c>
      <c r="F1109" t="s">
        <v>16</v>
      </c>
      <c r="G1109" t="s">
        <v>17</v>
      </c>
      <c r="H1109" t="s">
        <v>141</v>
      </c>
      <c r="I1109" t="s">
        <v>1950</v>
      </c>
      <c r="J1109" t="s">
        <v>578</v>
      </c>
      <c r="K1109" s="9">
        <v>43595</v>
      </c>
      <c r="L1109" s="10">
        <v>0.63888888888888895</v>
      </c>
      <c r="M1109" t="s">
        <v>1951</v>
      </c>
      <c r="N1109" t="s">
        <v>1959</v>
      </c>
      <c r="O1109" t="s">
        <v>22</v>
      </c>
    </row>
    <row r="1110" spans="1:15" hidden="1">
      <c r="A1110" t="s">
        <v>15</v>
      </c>
      <c r="B1110" t="str">
        <f>"FES1162688822"</f>
        <v>FES1162688822</v>
      </c>
      <c r="C1110" s="9">
        <v>43594</v>
      </c>
      <c r="D1110">
        <v>1</v>
      </c>
      <c r="E1110">
        <v>2170685570</v>
      </c>
      <c r="F1110" t="s">
        <v>16</v>
      </c>
      <c r="G1110" t="s">
        <v>17</v>
      </c>
      <c r="H1110" t="s">
        <v>43</v>
      </c>
      <c r="I1110" t="s">
        <v>44</v>
      </c>
      <c r="J1110" t="s">
        <v>48</v>
      </c>
      <c r="K1110" s="9">
        <v>43595</v>
      </c>
      <c r="L1110" s="10">
        <v>0.41666666666666669</v>
      </c>
      <c r="M1110" t="s">
        <v>1763</v>
      </c>
      <c r="N1110" t="s">
        <v>1960</v>
      </c>
      <c r="O1110" t="s">
        <v>22</v>
      </c>
    </row>
    <row r="1111" spans="1:15" hidden="1">
      <c r="A1111" t="s">
        <v>15</v>
      </c>
      <c r="B1111" t="str">
        <f>"FES1162688960"</f>
        <v>FES1162688960</v>
      </c>
      <c r="C1111" s="9">
        <v>43594</v>
      </c>
      <c r="D1111">
        <v>1</v>
      </c>
      <c r="E1111">
        <v>2170687188</v>
      </c>
      <c r="F1111" t="s">
        <v>16</v>
      </c>
      <c r="G1111" t="s">
        <v>17</v>
      </c>
      <c r="H1111" t="s">
        <v>141</v>
      </c>
      <c r="I1111" t="s">
        <v>185</v>
      </c>
      <c r="J1111" t="s">
        <v>1011</v>
      </c>
      <c r="K1111" s="9">
        <v>43595</v>
      </c>
      <c r="L1111" s="10">
        <v>0.3354166666666667</v>
      </c>
      <c r="M1111" t="s">
        <v>1012</v>
      </c>
      <c r="N1111" t="s">
        <v>1961</v>
      </c>
      <c r="O1111" t="s">
        <v>22</v>
      </c>
    </row>
    <row r="1112" spans="1:15" hidden="1">
      <c r="A1112" t="s">
        <v>15</v>
      </c>
      <c r="B1112" t="str">
        <f>"FES1162688832"</f>
        <v>FES1162688832</v>
      </c>
      <c r="C1112" s="9">
        <v>43594</v>
      </c>
      <c r="D1112">
        <v>1</v>
      </c>
      <c r="E1112">
        <v>2170685672</v>
      </c>
      <c r="F1112" t="s">
        <v>16</v>
      </c>
      <c r="G1112" t="s">
        <v>17</v>
      </c>
      <c r="H1112" t="s">
        <v>43</v>
      </c>
      <c r="I1112" t="s">
        <v>44</v>
      </c>
      <c r="J1112" t="s">
        <v>1074</v>
      </c>
      <c r="K1112" s="9">
        <v>43598</v>
      </c>
      <c r="L1112" s="10">
        <v>0.41666666666666669</v>
      </c>
      <c r="M1112" t="s">
        <v>1962</v>
      </c>
      <c r="N1112" t="s">
        <v>1963</v>
      </c>
      <c r="O1112" t="s">
        <v>22</v>
      </c>
    </row>
    <row r="1113" spans="1:15" hidden="1">
      <c r="A1113" t="s">
        <v>15</v>
      </c>
      <c r="B1113" t="str">
        <f>"FES1162688926"</f>
        <v>FES1162688926</v>
      </c>
      <c r="C1113" s="9">
        <v>43594</v>
      </c>
      <c r="D1113">
        <v>1</v>
      </c>
      <c r="E1113">
        <v>2170687526</v>
      </c>
      <c r="F1113" t="s">
        <v>16</v>
      </c>
      <c r="G1113" t="s">
        <v>17</v>
      </c>
      <c r="H1113" t="s">
        <v>141</v>
      </c>
      <c r="I1113" t="s">
        <v>142</v>
      </c>
      <c r="J1113" t="s">
        <v>213</v>
      </c>
      <c r="K1113" s="9">
        <v>43595</v>
      </c>
      <c r="L1113" s="10">
        <v>0.39027777777777778</v>
      </c>
      <c r="M1113" t="s">
        <v>214</v>
      </c>
      <c r="N1113" t="s">
        <v>1964</v>
      </c>
      <c r="O1113" t="s">
        <v>22</v>
      </c>
    </row>
    <row r="1114" spans="1:15" hidden="1">
      <c r="A1114" t="s">
        <v>15</v>
      </c>
      <c r="B1114" t="str">
        <f>"FES1162688730"</f>
        <v>FES1162688730</v>
      </c>
      <c r="C1114" s="9">
        <v>43594</v>
      </c>
      <c r="D1114">
        <v>1</v>
      </c>
      <c r="E1114">
        <v>2170686577</v>
      </c>
      <c r="F1114" t="s">
        <v>16</v>
      </c>
      <c r="G1114" t="s">
        <v>17</v>
      </c>
      <c r="H1114" t="s">
        <v>440</v>
      </c>
      <c r="I1114" t="s">
        <v>441</v>
      </c>
      <c r="J1114" t="s">
        <v>317</v>
      </c>
      <c r="K1114" s="9">
        <v>43595</v>
      </c>
      <c r="L1114" s="10">
        <v>0.39583333333333331</v>
      </c>
      <c r="M1114" t="s">
        <v>1965</v>
      </c>
      <c r="N1114" t="s">
        <v>1966</v>
      </c>
      <c r="O1114" t="s">
        <v>22</v>
      </c>
    </row>
    <row r="1115" spans="1:15" hidden="1">
      <c r="A1115" t="s">
        <v>15</v>
      </c>
      <c r="B1115" t="str">
        <f>"FES1162688784"</f>
        <v>FES1162688784</v>
      </c>
      <c r="C1115" s="9">
        <v>43594</v>
      </c>
      <c r="D1115">
        <v>1</v>
      </c>
      <c r="E1115">
        <v>217687237</v>
      </c>
      <c r="F1115" t="s">
        <v>16</v>
      </c>
      <c r="G1115" t="s">
        <v>17</v>
      </c>
      <c r="H1115" t="s">
        <v>132</v>
      </c>
      <c r="I1115" t="s">
        <v>137</v>
      </c>
      <c r="J1115" t="s">
        <v>138</v>
      </c>
      <c r="K1115" s="9">
        <v>43595</v>
      </c>
      <c r="L1115" s="10">
        <v>0.47569444444444442</v>
      </c>
      <c r="M1115" t="s">
        <v>446</v>
      </c>
      <c r="N1115" t="s">
        <v>1967</v>
      </c>
      <c r="O1115" t="s">
        <v>22</v>
      </c>
    </row>
    <row r="1116" spans="1:15" hidden="1">
      <c r="A1116" t="s">
        <v>15</v>
      </c>
      <c r="B1116" t="str">
        <f>"FES1162688766"</f>
        <v>FES1162688766</v>
      </c>
      <c r="C1116" s="9">
        <v>43594</v>
      </c>
      <c r="D1116">
        <v>1</v>
      </c>
      <c r="E1116">
        <v>2170687498</v>
      </c>
      <c r="F1116" t="s">
        <v>16</v>
      </c>
      <c r="G1116" t="s">
        <v>17</v>
      </c>
      <c r="H1116" t="s">
        <v>43</v>
      </c>
      <c r="I1116" t="s">
        <v>44</v>
      </c>
      <c r="J1116" t="s">
        <v>1968</v>
      </c>
      <c r="K1116" s="9">
        <v>43598</v>
      </c>
      <c r="L1116" s="10">
        <v>0.38263888888888892</v>
      </c>
      <c r="M1116" t="s">
        <v>1969</v>
      </c>
      <c r="N1116" t="s">
        <v>1970</v>
      </c>
      <c r="O1116" t="s">
        <v>22</v>
      </c>
    </row>
    <row r="1117" spans="1:15" hidden="1">
      <c r="A1117" t="s">
        <v>15</v>
      </c>
      <c r="B1117" t="str">
        <f>"FES1162689088"</f>
        <v>FES1162689088</v>
      </c>
      <c r="C1117" s="9">
        <v>43594</v>
      </c>
      <c r="D1117">
        <v>1</v>
      </c>
      <c r="E1117">
        <v>21706875131</v>
      </c>
      <c r="F1117" t="s">
        <v>16</v>
      </c>
      <c r="G1117" t="s">
        <v>17</v>
      </c>
      <c r="H1117" t="s">
        <v>141</v>
      </c>
      <c r="I1117" t="s">
        <v>142</v>
      </c>
      <c r="J1117" t="s">
        <v>213</v>
      </c>
      <c r="K1117" s="9">
        <v>43595</v>
      </c>
      <c r="L1117" s="10">
        <v>0.39027777777777778</v>
      </c>
      <c r="M1117" t="s">
        <v>214</v>
      </c>
      <c r="N1117" t="s">
        <v>1971</v>
      </c>
      <c r="O1117" t="s">
        <v>22</v>
      </c>
    </row>
    <row r="1118" spans="1:15" hidden="1">
      <c r="A1118" t="s">
        <v>15</v>
      </c>
      <c r="B1118" t="str">
        <f>"FES1162688748"</f>
        <v>FES1162688748</v>
      </c>
      <c r="C1118" s="9">
        <v>43594</v>
      </c>
      <c r="D1118">
        <v>1</v>
      </c>
      <c r="E1118">
        <v>2170687398</v>
      </c>
      <c r="F1118" t="s">
        <v>16</v>
      </c>
      <c r="G1118" t="s">
        <v>17</v>
      </c>
      <c r="H1118" t="s">
        <v>43</v>
      </c>
      <c r="I1118" t="s">
        <v>75</v>
      </c>
      <c r="J1118" t="s">
        <v>222</v>
      </c>
      <c r="K1118" s="9">
        <v>43598</v>
      </c>
      <c r="L1118" s="10">
        <v>0.47569444444444442</v>
      </c>
      <c r="M1118" t="s">
        <v>223</v>
      </c>
      <c r="N1118" t="s">
        <v>1972</v>
      </c>
      <c r="O1118" t="s">
        <v>22</v>
      </c>
    </row>
    <row r="1119" spans="1:15" hidden="1">
      <c r="A1119" t="s">
        <v>15</v>
      </c>
      <c r="B1119" t="str">
        <f>"FES1162688710"</f>
        <v>FES1162688710</v>
      </c>
      <c r="C1119" s="9">
        <v>43594</v>
      </c>
      <c r="D1119">
        <v>1</v>
      </c>
      <c r="E1119">
        <v>2170684435</v>
      </c>
      <c r="F1119" t="s">
        <v>16</v>
      </c>
      <c r="G1119" t="s">
        <v>17</v>
      </c>
      <c r="H1119" t="s">
        <v>43</v>
      </c>
      <c r="I1119" t="s">
        <v>54</v>
      </c>
      <c r="J1119" t="s">
        <v>216</v>
      </c>
      <c r="K1119" s="9">
        <v>43595</v>
      </c>
      <c r="L1119" s="10">
        <v>0.41666666666666669</v>
      </c>
      <c r="M1119" t="s">
        <v>1443</v>
      </c>
      <c r="N1119" t="s">
        <v>1973</v>
      </c>
      <c r="O1119" t="s">
        <v>22</v>
      </c>
    </row>
    <row r="1120" spans="1:15" hidden="1">
      <c r="A1120" t="s">
        <v>15</v>
      </c>
      <c r="B1120" t="str">
        <f>"FES1162688797"</f>
        <v>FES1162688797</v>
      </c>
      <c r="C1120" s="9">
        <v>43594</v>
      </c>
      <c r="D1120">
        <v>1</v>
      </c>
      <c r="E1120">
        <v>2170683003</v>
      </c>
      <c r="F1120" t="s">
        <v>16</v>
      </c>
      <c r="G1120" t="s">
        <v>17</v>
      </c>
      <c r="H1120" t="s">
        <v>43</v>
      </c>
      <c r="I1120" t="s">
        <v>54</v>
      </c>
      <c r="J1120" t="s">
        <v>216</v>
      </c>
      <c r="K1120" s="9">
        <v>43595</v>
      </c>
      <c r="L1120" s="10">
        <v>0.41666666666666669</v>
      </c>
      <c r="M1120" t="s">
        <v>1443</v>
      </c>
      <c r="N1120" t="s">
        <v>1974</v>
      </c>
      <c r="O1120" t="s">
        <v>22</v>
      </c>
    </row>
    <row r="1121" spans="1:15" hidden="1">
      <c r="A1121" t="s">
        <v>15</v>
      </c>
      <c r="B1121" t="str">
        <f>"FES1162688902"</f>
        <v>FES1162688902</v>
      </c>
      <c r="C1121" s="9">
        <v>43594</v>
      </c>
      <c r="D1121">
        <v>1</v>
      </c>
      <c r="E1121">
        <v>2170686489</v>
      </c>
      <c r="F1121" t="s">
        <v>16</v>
      </c>
      <c r="G1121" t="s">
        <v>17</v>
      </c>
      <c r="H1121" t="s">
        <v>43</v>
      </c>
      <c r="I1121" t="s">
        <v>44</v>
      </c>
      <c r="J1121" t="s">
        <v>128</v>
      </c>
      <c r="K1121" s="9">
        <v>43598</v>
      </c>
      <c r="L1121" s="10">
        <v>0.37291666666666662</v>
      </c>
      <c r="M1121" t="s">
        <v>361</v>
      </c>
      <c r="N1121" t="s">
        <v>1975</v>
      </c>
      <c r="O1121" t="s">
        <v>22</v>
      </c>
    </row>
    <row r="1122" spans="1:15" hidden="1">
      <c r="A1122" t="s">
        <v>15</v>
      </c>
      <c r="B1122" t="str">
        <f>"FES1162688835"</f>
        <v>FES1162688835</v>
      </c>
      <c r="C1122" s="9">
        <v>43594</v>
      </c>
      <c r="D1122">
        <v>1</v>
      </c>
      <c r="E1122">
        <v>2170685695</v>
      </c>
      <c r="F1122" t="s">
        <v>16</v>
      </c>
      <c r="G1122" t="s">
        <v>17</v>
      </c>
      <c r="H1122" t="s">
        <v>43</v>
      </c>
      <c r="I1122" t="s">
        <v>44</v>
      </c>
      <c r="J1122" t="s">
        <v>945</v>
      </c>
      <c r="K1122" s="9">
        <v>43598</v>
      </c>
      <c r="L1122" s="10">
        <v>0.41666666666666669</v>
      </c>
      <c r="M1122" t="s">
        <v>946</v>
      </c>
      <c r="N1122" t="s">
        <v>1976</v>
      </c>
      <c r="O1122" t="s">
        <v>22</v>
      </c>
    </row>
    <row r="1123" spans="1:15">
      <c r="A1123" s="6" t="s">
        <v>15</v>
      </c>
      <c r="B1123" s="6" t="str">
        <f>"FES1162689080"</f>
        <v>FES1162689080</v>
      </c>
      <c r="C1123" s="7">
        <v>43594</v>
      </c>
      <c r="D1123" s="6">
        <v>1</v>
      </c>
      <c r="E1123" s="6">
        <v>2170687670</v>
      </c>
      <c r="F1123" s="6" t="s">
        <v>16</v>
      </c>
      <c r="G1123" s="6" t="s">
        <v>17</v>
      </c>
      <c r="H1123" s="6" t="s">
        <v>17</v>
      </c>
      <c r="I1123" s="6" t="s">
        <v>18</v>
      </c>
      <c r="J1123" s="6" t="s">
        <v>689</v>
      </c>
      <c r="K1123" s="7">
        <v>43595</v>
      </c>
      <c r="L1123" s="8">
        <v>0.37222222222222223</v>
      </c>
      <c r="M1123" s="6" t="s">
        <v>1977</v>
      </c>
      <c r="N1123" s="6" t="s">
        <v>21</v>
      </c>
      <c r="O1123" s="6" t="s">
        <v>22</v>
      </c>
    </row>
    <row r="1124" spans="1:15">
      <c r="A1124" s="6" t="s">
        <v>15</v>
      </c>
      <c r="B1124" s="6" t="str">
        <f>"FES1162689089"</f>
        <v>FES1162689089</v>
      </c>
      <c r="C1124" s="7">
        <v>43594</v>
      </c>
      <c r="D1124" s="6">
        <v>1</v>
      </c>
      <c r="E1124" s="6">
        <v>2170687675</v>
      </c>
      <c r="F1124" s="6" t="s">
        <v>16</v>
      </c>
      <c r="G1124" s="6" t="s">
        <v>17</v>
      </c>
      <c r="H1124" s="6" t="s">
        <v>17</v>
      </c>
      <c r="I1124" s="6" t="s">
        <v>18</v>
      </c>
      <c r="J1124" s="6" t="s">
        <v>19</v>
      </c>
      <c r="K1124" s="7">
        <v>43595</v>
      </c>
      <c r="L1124" s="8">
        <v>0.40763888888888888</v>
      </c>
      <c r="M1124" s="6" t="s">
        <v>1978</v>
      </c>
      <c r="N1124" s="6" t="s">
        <v>21</v>
      </c>
      <c r="O1124" s="6" t="s">
        <v>22</v>
      </c>
    </row>
    <row r="1125" spans="1:15" hidden="1">
      <c r="A1125" t="s">
        <v>15</v>
      </c>
      <c r="B1125" t="str">
        <f>"FES1162689061"</f>
        <v>FES1162689061</v>
      </c>
      <c r="C1125" s="9">
        <v>43594</v>
      </c>
      <c r="D1125">
        <v>1</v>
      </c>
      <c r="E1125">
        <v>2170687646</v>
      </c>
      <c r="F1125" t="s">
        <v>16</v>
      </c>
      <c r="G1125" t="s">
        <v>17</v>
      </c>
      <c r="H1125" t="s">
        <v>32</v>
      </c>
      <c r="I1125" t="s">
        <v>33</v>
      </c>
      <c r="J1125" t="s">
        <v>357</v>
      </c>
      <c r="K1125" s="9">
        <v>43595</v>
      </c>
      <c r="L1125" s="10">
        <v>0.42708333333333331</v>
      </c>
      <c r="M1125" t="s">
        <v>1595</v>
      </c>
      <c r="N1125" t="s">
        <v>1979</v>
      </c>
      <c r="O1125" t="s">
        <v>22</v>
      </c>
    </row>
    <row r="1126" spans="1:15" hidden="1">
      <c r="A1126" t="s">
        <v>15</v>
      </c>
      <c r="B1126" t="str">
        <f>"FES1162689037"</f>
        <v>FES1162689037</v>
      </c>
      <c r="C1126" s="9">
        <v>43594</v>
      </c>
      <c r="D1126">
        <v>1</v>
      </c>
      <c r="E1126">
        <v>2170687627</v>
      </c>
      <c r="F1126" t="s">
        <v>16</v>
      </c>
      <c r="G1126" t="s">
        <v>17</v>
      </c>
      <c r="H1126" t="s">
        <v>32</v>
      </c>
      <c r="I1126" t="s">
        <v>33</v>
      </c>
      <c r="J1126" t="s">
        <v>360</v>
      </c>
      <c r="K1126" s="9">
        <v>43595</v>
      </c>
      <c r="L1126" s="10">
        <v>0.35972222222222222</v>
      </c>
      <c r="M1126" t="s">
        <v>1727</v>
      </c>
      <c r="N1126" t="s">
        <v>1980</v>
      </c>
      <c r="O1126" t="s">
        <v>22</v>
      </c>
    </row>
    <row r="1127" spans="1:15">
      <c r="A1127" s="6" t="s">
        <v>15</v>
      </c>
      <c r="B1127" s="6" t="str">
        <f>"FES1162689074"</f>
        <v>FES1162689074</v>
      </c>
      <c r="C1127" s="7">
        <v>43594</v>
      </c>
      <c r="D1127" s="6">
        <v>1</v>
      </c>
      <c r="E1127" s="6">
        <v>2170687664</v>
      </c>
      <c r="F1127" s="6" t="s">
        <v>16</v>
      </c>
      <c r="G1127" s="6" t="s">
        <v>17</v>
      </c>
      <c r="H1127" s="6" t="s">
        <v>17</v>
      </c>
      <c r="I1127" s="6" t="s">
        <v>18</v>
      </c>
      <c r="J1127" s="6" t="s">
        <v>19</v>
      </c>
      <c r="K1127" s="7">
        <v>43595</v>
      </c>
      <c r="L1127" s="8">
        <v>0.4069444444444445</v>
      </c>
      <c r="M1127" s="6" t="s">
        <v>100</v>
      </c>
      <c r="N1127" s="6" t="s">
        <v>21</v>
      </c>
      <c r="O1127" s="6" t="s">
        <v>22</v>
      </c>
    </row>
    <row r="1128" spans="1:15">
      <c r="A1128" s="6" t="s">
        <v>15</v>
      </c>
      <c r="B1128" s="6" t="str">
        <f>"FES1162689043"</f>
        <v>FES1162689043</v>
      </c>
      <c r="C1128" s="7">
        <v>43594</v>
      </c>
      <c r="D1128" s="6">
        <v>1</v>
      </c>
      <c r="E1128" s="6">
        <v>2170687476</v>
      </c>
      <c r="F1128" s="6" t="s">
        <v>16</v>
      </c>
      <c r="G1128" s="6" t="s">
        <v>17</v>
      </c>
      <c r="H1128" s="6" t="s">
        <v>17</v>
      </c>
      <c r="I1128" s="6" t="s">
        <v>67</v>
      </c>
      <c r="J1128" s="6" t="s">
        <v>1692</v>
      </c>
      <c r="K1128" s="7">
        <v>43595</v>
      </c>
      <c r="L1128" s="8">
        <v>0.47847222222222219</v>
      </c>
      <c r="M1128" s="6" t="s">
        <v>1693</v>
      </c>
      <c r="N1128" s="6" t="s">
        <v>21</v>
      </c>
      <c r="O1128" s="6" t="s">
        <v>22</v>
      </c>
    </row>
    <row r="1129" spans="1:15" hidden="1">
      <c r="A1129" t="s">
        <v>15</v>
      </c>
      <c r="B1129" t="str">
        <f>"FES1162688905"</f>
        <v>FES1162688905</v>
      </c>
      <c r="C1129" s="9">
        <v>43594</v>
      </c>
      <c r="D1129">
        <v>1</v>
      </c>
      <c r="E1129">
        <v>2170686597</v>
      </c>
      <c r="F1129" t="s">
        <v>16</v>
      </c>
      <c r="G1129" t="s">
        <v>17</v>
      </c>
      <c r="H1129" t="s">
        <v>141</v>
      </c>
      <c r="I1129" t="s">
        <v>185</v>
      </c>
      <c r="J1129" t="s">
        <v>515</v>
      </c>
      <c r="K1129" s="9">
        <v>43595</v>
      </c>
      <c r="L1129" s="10">
        <v>0.4236111111111111</v>
      </c>
      <c r="M1129" t="s">
        <v>1817</v>
      </c>
      <c r="N1129" t="s">
        <v>1981</v>
      </c>
      <c r="O1129" t="s">
        <v>22</v>
      </c>
    </row>
    <row r="1130" spans="1:15" hidden="1">
      <c r="A1130" t="s">
        <v>15</v>
      </c>
      <c r="B1130" t="str">
        <f>"FES1162688735"</f>
        <v>FES1162688735</v>
      </c>
      <c r="C1130" s="9">
        <v>43594</v>
      </c>
      <c r="D1130">
        <v>1</v>
      </c>
      <c r="E1130">
        <v>2170687073</v>
      </c>
      <c r="F1130" t="s">
        <v>16</v>
      </c>
      <c r="G1130" t="s">
        <v>17</v>
      </c>
      <c r="H1130" t="s">
        <v>43</v>
      </c>
      <c r="I1130" t="s">
        <v>60</v>
      </c>
      <c r="J1130" t="s">
        <v>61</v>
      </c>
      <c r="K1130" s="9">
        <v>43600</v>
      </c>
      <c r="L1130" s="10">
        <v>0.52430555555555558</v>
      </c>
      <c r="M1130" t="s">
        <v>61</v>
      </c>
      <c r="N1130" t="s">
        <v>1982</v>
      </c>
      <c r="O1130" t="s">
        <v>22</v>
      </c>
    </row>
    <row r="1131" spans="1:15" hidden="1">
      <c r="A1131" t="s">
        <v>15</v>
      </c>
      <c r="B1131" t="str">
        <f>"FES1162689105"</f>
        <v>FES1162689105</v>
      </c>
      <c r="C1131" s="9">
        <v>43594</v>
      </c>
      <c r="D1131">
        <v>1</v>
      </c>
      <c r="E1131">
        <v>2170687686</v>
      </c>
      <c r="F1131" t="s">
        <v>16</v>
      </c>
      <c r="G1131" t="s">
        <v>17</v>
      </c>
      <c r="H1131" t="s">
        <v>37</v>
      </c>
      <c r="I1131" t="s">
        <v>38</v>
      </c>
      <c r="J1131" t="s">
        <v>766</v>
      </c>
      <c r="K1131" s="9">
        <v>43595</v>
      </c>
      <c r="L1131" s="10">
        <v>0.36180555555555555</v>
      </c>
      <c r="M1131" t="s">
        <v>1827</v>
      </c>
      <c r="N1131" t="s">
        <v>1983</v>
      </c>
      <c r="O1131" t="s">
        <v>22</v>
      </c>
    </row>
    <row r="1132" spans="1:15">
      <c r="A1132" s="6" t="s">
        <v>15</v>
      </c>
      <c r="B1132" s="6" t="str">
        <f>"FES1162689075"</f>
        <v>FES1162689075</v>
      </c>
      <c r="C1132" s="7">
        <v>43594</v>
      </c>
      <c r="D1132" s="6">
        <v>1</v>
      </c>
      <c r="E1132" s="6">
        <v>2170687665</v>
      </c>
      <c r="F1132" s="6" t="s">
        <v>16</v>
      </c>
      <c r="G1132" s="6" t="s">
        <v>17</v>
      </c>
      <c r="H1132" s="6" t="s">
        <v>17</v>
      </c>
      <c r="I1132" s="6" t="s">
        <v>1984</v>
      </c>
      <c r="J1132" s="6" t="s">
        <v>1985</v>
      </c>
      <c r="K1132" s="7">
        <v>43595</v>
      </c>
      <c r="L1132" s="8">
        <v>0.42083333333333334</v>
      </c>
      <c r="M1132" s="6" t="s">
        <v>1986</v>
      </c>
      <c r="N1132" s="6" t="s">
        <v>21</v>
      </c>
      <c r="O1132" s="6" t="s">
        <v>22</v>
      </c>
    </row>
    <row r="1133" spans="1:15" hidden="1">
      <c r="A1133" t="s">
        <v>15</v>
      </c>
      <c r="B1133" t="str">
        <f>"FES1162689109"</f>
        <v>FES1162689109</v>
      </c>
      <c r="C1133" s="9">
        <v>43594</v>
      </c>
      <c r="D1133">
        <v>1</v>
      </c>
      <c r="E1133">
        <v>2170687690</v>
      </c>
      <c r="F1133" t="s">
        <v>16</v>
      </c>
      <c r="G1133" t="s">
        <v>17</v>
      </c>
      <c r="H1133" t="s">
        <v>37</v>
      </c>
      <c r="I1133" t="s">
        <v>38</v>
      </c>
      <c r="J1133" t="s">
        <v>766</v>
      </c>
      <c r="K1133" s="9">
        <v>43595</v>
      </c>
      <c r="L1133" s="10">
        <v>0.36180555555555555</v>
      </c>
      <c r="M1133" t="s">
        <v>1827</v>
      </c>
      <c r="N1133" t="s">
        <v>1987</v>
      </c>
      <c r="O1133" t="s">
        <v>22</v>
      </c>
    </row>
    <row r="1134" spans="1:15" hidden="1">
      <c r="A1134" t="s">
        <v>15</v>
      </c>
      <c r="B1134" t="str">
        <f>"FES1162688885"</f>
        <v>FES1162688885</v>
      </c>
      <c r="C1134" s="9">
        <v>43594</v>
      </c>
      <c r="D1134">
        <v>1</v>
      </c>
      <c r="E1134">
        <v>2170686159</v>
      </c>
      <c r="F1134" t="s">
        <v>16</v>
      </c>
      <c r="G1134" t="s">
        <v>17</v>
      </c>
      <c r="H1134" t="s">
        <v>43</v>
      </c>
      <c r="I1134" t="s">
        <v>54</v>
      </c>
      <c r="J1134" t="s">
        <v>216</v>
      </c>
      <c r="K1134" s="9">
        <v>43595</v>
      </c>
      <c r="L1134" s="10">
        <v>0.41666666666666669</v>
      </c>
      <c r="M1134" t="s">
        <v>1443</v>
      </c>
      <c r="N1134" t="s">
        <v>1988</v>
      </c>
      <c r="O1134" t="s">
        <v>22</v>
      </c>
    </row>
    <row r="1135" spans="1:15" hidden="1">
      <c r="A1135" t="s">
        <v>15</v>
      </c>
      <c r="B1135" t="str">
        <f>"FES1162688847"</f>
        <v>FES1162688847</v>
      </c>
      <c r="C1135" s="9">
        <v>43594</v>
      </c>
      <c r="D1135">
        <v>1</v>
      </c>
      <c r="E1135">
        <v>2170685788</v>
      </c>
      <c r="F1135" t="s">
        <v>16</v>
      </c>
      <c r="G1135" t="s">
        <v>17</v>
      </c>
      <c r="H1135" t="s">
        <v>43</v>
      </c>
      <c r="I1135" t="s">
        <v>44</v>
      </c>
      <c r="J1135" t="s">
        <v>256</v>
      </c>
      <c r="K1135" s="9">
        <v>43598</v>
      </c>
      <c r="L1135" s="10">
        <v>0.3520833333333333</v>
      </c>
      <c r="M1135" t="s">
        <v>1989</v>
      </c>
      <c r="N1135" t="s">
        <v>1990</v>
      </c>
      <c r="O1135" t="s">
        <v>22</v>
      </c>
    </row>
    <row r="1136" spans="1:15">
      <c r="A1136" s="6" t="s">
        <v>15</v>
      </c>
      <c r="B1136" s="6" t="str">
        <f>"FES1162688888"</f>
        <v>FES1162688888</v>
      </c>
      <c r="C1136" s="7">
        <v>43594</v>
      </c>
      <c r="D1136" s="6">
        <v>1</v>
      </c>
      <c r="E1136" s="6">
        <v>2170686213</v>
      </c>
      <c r="F1136" s="6" t="s">
        <v>16</v>
      </c>
      <c r="G1136" s="6" t="s">
        <v>17</v>
      </c>
      <c r="H1136" s="6" t="s">
        <v>17</v>
      </c>
      <c r="I1136" s="6" t="s">
        <v>18</v>
      </c>
      <c r="J1136" s="6" t="s">
        <v>1991</v>
      </c>
      <c r="K1136" s="7">
        <v>43595</v>
      </c>
      <c r="L1136" s="8">
        <v>0.39374999999999999</v>
      </c>
      <c r="M1136" s="6" t="s">
        <v>1992</v>
      </c>
      <c r="N1136" s="6" t="s">
        <v>21</v>
      </c>
      <c r="O1136" s="6" t="s">
        <v>22</v>
      </c>
    </row>
    <row r="1137" spans="1:15">
      <c r="A1137" s="6" t="s">
        <v>15</v>
      </c>
      <c r="B1137" s="6" t="str">
        <f>"FES1162689022"</f>
        <v>FES1162689022</v>
      </c>
      <c r="C1137" s="7">
        <v>43594</v>
      </c>
      <c r="D1137" s="6">
        <v>1</v>
      </c>
      <c r="E1137" s="6">
        <v>2170682469</v>
      </c>
      <c r="F1137" s="6" t="s">
        <v>16</v>
      </c>
      <c r="G1137" s="6" t="s">
        <v>17</v>
      </c>
      <c r="H1137" s="6" t="s">
        <v>17</v>
      </c>
      <c r="I1137" s="6" t="s">
        <v>18</v>
      </c>
      <c r="J1137" s="6" t="s">
        <v>89</v>
      </c>
      <c r="K1137" s="7">
        <v>43595</v>
      </c>
      <c r="L1137" s="8">
        <v>0.3888888888888889</v>
      </c>
      <c r="M1137" s="6" t="s">
        <v>1993</v>
      </c>
      <c r="N1137" s="6" t="s">
        <v>21</v>
      </c>
      <c r="O1137" s="6" t="s">
        <v>22</v>
      </c>
    </row>
    <row r="1138" spans="1:15" hidden="1">
      <c r="A1138" t="s">
        <v>15</v>
      </c>
      <c r="B1138" t="str">
        <f>"FES1162689040"</f>
        <v>FES1162689040</v>
      </c>
      <c r="C1138" s="9">
        <v>43594</v>
      </c>
      <c r="D1138">
        <v>1</v>
      </c>
      <c r="E1138">
        <v>2170685304</v>
      </c>
      <c r="F1138" t="s">
        <v>16</v>
      </c>
      <c r="G1138" t="s">
        <v>17</v>
      </c>
      <c r="H1138" t="s">
        <v>32</v>
      </c>
      <c r="I1138" t="s">
        <v>33</v>
      </c>
      <c r="J1138" t="s">
        <v>832</v>
      </c>
      <c r="K1138" s="9">
        <v>43595</v>
      </c>
      <c r="L1138" s="10">
        <v>0.41666666666666669</v>
      </c>
      <c r="M1138" t="s">
        <v>787</v>
      </c>
      <c r="N1138" t="s">
        <v>1994</v>
      </c>
      <c r="O1138" t="s">
        <v>22</v>
      </c>
    </row>
    <row r="1139" spans="1:15" hidden="1">
      <c r="A1139" t="s">
        <v>15</v>
      </c>
      <c r="B1139" t="str">
        <f>"FES1162689041"</f>
        <v>FES1162689041</v>
      </c>
      <c r="C1139" s="9">
        <v>43594</v>
      </c>
      <c r="D1139">
        <v>1</v>
      </c>
      <c r="E1139">
        <v>2170687217</v>
      </c>
      <c r="F1139" t="s">
        <v>16</v>
      </c>
      <c r="G1139" t="s">
        <v>17</v>
      </c>
      <c r="H1139" t="s">
        <v>1474</v>
      </c>
      <c r="I1139" t="s">
        <v>1475</v>
      </c>
      <c r="J1139" t="s">
        <v>1476</v>
      </c>
      <c r="K1139" s="9">
        <v>43598</v>
      </c>
      <c r="L1139" s="10">
        <v>0.42430555555555555</v>
      </c>
      <c r="M1139" t="s">
        <v>1477</v>
      </c>
      <c r="N1139" t="s">
        <v>1995</v>
      </c>
      <c r="O1139" t="s">
        <v>22</v>
      </c>
    </row>
    <row r="1140" spans="1:15" hidden="1">
      <c r="A1140" t="s">
        <v>15</v>
      </c>
      <c r="B1140" t="str">
        <f>"FES1162689038"</f>
        <v>FES1162689038</v>
      </c>
      <c r="C1140" s="9">
        <v>43594</v>
      </c>
      <c r="D1140">
        <v>1</v>
      </c>
      <c r="E1140">
        <v>2170686443</v>
      </c>
      <c r="F1140" t="s">
        <v>16</v>
      </c>
      <c r="G1140" t="s">
        <v>17</v>
      </c>
      <c r="H1140" t="s">
        <v>32</v>
      </c>
      <c r="I1140" t="s">
        <v>342</v>
      </c>
      <c r="J1140" t="s">
        <v>549</v>
      </c>
      <c r="K1140" s="9">
        <v>43595</v>
      </c>
      <c r="L1140" s="10">
        <v>0.4201388888888889</v>
      </c>
      <c r="M1140" t="s">
        <v>1996</v>
      </c>
      <c r="N1140" t="s">
        <v>1997</v>
      </c>
      <c r="O1140" t="s">
        <v>22</v>
      </c>
    </row>
    <row r="1141" spans="1:15">
      <c r="A1141" s="6" t="s">
        <v>15</v>
      </c>
      <c r="B1141" s="6" t="str">
        <f>"FES1162688852"</f>
        <v>FES1162688852</v>
      </c>
      <c r="C1141" s="7">
        <v>43594</v>
      </c>
      <c r="D1141" s="6">
        <v>1</v>
      </c>
      <c r="E1141" s="6">
        <v>2170685826</v>
      </c>
      <c r="F1141" s="6" t="s">
        <v>16</v>
      </c>
      <c r="G1141" s="6" t="s">
        <v>17</v>
      </c>
      <c r="H1141" s="6" t="s">
        <v>17</v>
      </c>
      <c r="I1141" s="6" t="s">
        <v>29</v>
      </c>
      <c r="J1141" s="6" t="s">
        <v>1080</v>
      </c>
      <c r="K1141" s="7">
        <v>43595</v>
      </c>
      <c r="L1141" s="8">
        <v>0.33333333333333331</v>
      </c>
      <c r="M1141" s="6" t="s">
        <v>56</v>
      </c>
      <c r="N1141" s="6" t="s">
        <v>21</v>
      </c>
      <c r="O1141" s="6" t="s">
        <v>22</v>
      </c>
    </row>
    <row r="1142" spans="1:15">
      <c r="A1142" s="6" t="s">
        <v>15</v>
      </c>
      <c r="B1142" s="6" t="str">
        <f>"FES1162688747"</f>
        <v>FES1162688747</v>
      </c>
      <c r="C1142" s="7">
        <v>43594</v>
      </c>
      <c r="D1142" s="6">
        <v>1</v>
      </c>
      <c r="E1142" s="6">
        <v>2170687363</v>
      </c>
      <c r="F1142" s="6" t="s">
        <v>16</v>
      </c>
      <c r="G1142" s="6" t="s">
        <v>17</v>
      </c>
      <c r="H1142" s="6" t="s">
        <v>17</v>
      </c>
      <c r="I1142" s="6" t="s">
        <v>23</v>
      </c>
      <c r="J1142" s="6" t="s">
        <v>483</v>
      </c>
      <c r="K1142" s="7">
        <v>43595</v>
      </c>
      <c r="L1142" s="8">
        <v>0.3298611111111111</v>
      </c>
      <c r="M1142" s="6" t="s">
        <v>1998</v>
      </c>
      <c r="N1142" s="6" t="s">
        <v>21</v>
      </c>
      <c r="O1142" s="6" t="s">
        <v>22</v>
      </c>
    </row>
    <row r="1143" spans="1:15">
      <c r="A1143" s="6" t="s">
        <v>15</v>
      </c>
      <c r="B1143" s="6" t="str">
        <f>"FES1162688855"</f>
        <v>FES1162688855</v>
      </c>
      <c r="C1143" s="7">
        <v>43594</v>
      </c>
      <c r="D1143" s="6">
        <v>1</v>
      </c>
      <c r="E1143" s="6">
        <v>2170685847</v>
      </c>
      <c r="F1143" s="6" t="s">
        <v>16</v>
      </c>
      <c r="G1143" s="6" t="s">
        <v>17</v>
      </c>
      <c r="H1143" s="6" t="s">
        <v>17</v>
      </c>
      <c r="I1143" s="6" t="s">
        <v>64</v>
      </c>
      <c r="J1143" s="6" t="s">
        <v>98</v>
      </c>
      <c r="K1143" s="7">
        <v>43595</v>
      </c>
      <c r="L1143" s="8">
        <v>0.3298611111111111</v>
      </c>
      <c r="M1143" s="6" t="s">
        <v>694</v>
      </c>
      <c r="N1143" s="6" t="s">
        <v>21</v>
      </c>
      <c r="O1143" s="6" t="s">
        <v>22</v>
      </c>
    </row>
    <row r="1144" spans="1:15">
      <c r="A1144" s="6" t="s">
        <v>15</v>
      </c>
      <c r="B1144" s="6" t="str">
        <f>"FES1162688829"</f>
        <v>FES1162688829</v>
      </c>
      <c r="C1144" s="7">
        <v>43594</v>
      </c>
      <c r="D1144" s="6">
        <v>1</v>
      </c>
      <c r="E1144" s="6">
        <v>2170685655</v>
      </c>
      <c r="F1144" s="6" t="s">
        <v>16</v>
      </c>
      <c r="G1144" s="6" t="s">
        <v>17</v>
      </c>
      <c r="H1144" s="6" t="s">
        <v>17</v>
      </c>
      <c r="I1144" s="6" t="s">
        <v>1376</v>
      </c>
      <c r="J1144" s="6" t="s">
        <v>1718</v>
      </c>
      <c r="K1144" s="7">
        <v>43598</v>
      </c>
      <c r="L1144" s="8">
        <v>0.5708333333333333</v>
      </c>
      <c r="M1144" s="6" t="s">
        <v>969</v>
      </c>
      <c r="N1144" s="6" t="s">
        <v>21</v>
      </c>
      <c r="O1144" s="6" t="s">
        <v>22</v>
      </c>
    </row>
    <row r="1145" spans="1:15" hidden="1">
      <c r="A1145" t="s">
        <v>15</v>
      </c>
      <c r="B1145" t="str">
        <f>"FES1162689116"</f>
        <v>FES1162689116</v>
      </c>
      <c r="C1145" s="9">
        <v>43594</v>
      </c>
      <c r="D1145">
        <v>1</v>
      </c>
      <c r="E1145">
        <v>2170687697</v>
      </c>
      <c r="F1145" t="s">
        <v>16</v>
      </c>
      <c r="G1145" t="s">
        <v>17</v>
      </c>
      <c r="H1145" t="s">
        <v>32</v>
      </c>
      <c r="I1145" t="s">
        <v>269</v>
      </c>
      <c r="J1145" t="s">
        <v>683</v>
      </c>
      <c r="K1145" s="9">
        <v>43595</v>
      </c>
      <c r="L1145" s="10">
        <v>0.35069444444444442</v>
      </c>
      <c r="M1145" t="s">
        <v>684</v>
      </c>
      <c r="N1145" t="s">
        <v>1999</v>
      </c>
      <c r="O1145" t="s">
        <v>22</v>
      </c>
    </row>
    <row r="1146" spans="1:15">
      <c r="A1146" s="6" t="s">
        <v>15</v>
      </c>
      <c r="B1146" s="6" t="str">
        <f>"FES1162689027"</f>
        <v>FES1162689027</v>
      </c>
      <c r="C1146" s="7">
        <v>43594</v>
      </c>
      <c r="D1146" s="6">
        <v>1</v>
      </c>
      <c r="E1146" s="6">
        <v>2170686126</v>
      </c>
      <c r="F1146" s="6" t="s">
        <v>16</v>
      </c>
      <c r="G1146" s="6" t="s">
        <v>17</v>
      </c>
      <c r="H1146" s="6" t="s">
        <v>17</v>
      </c>
      <c r="I1146" s="6" t="s">
        <v>64</v>
      </c>
      <c r="J1146" s="6" t="s">
        <v>878</v>
      </c>
      <c r="K1146" s="7">
        <v>43595</v>
      </c>
      <c r="L1146" s="8">
        <v>0.50555555555555554</v>
      </c>
      <c r="M1146" s="6" t="s">
        <v>1307</v>
      </c>
      <c r="N1146" s="6" t="s">
        <v>21</v>
      </c>
      <c r="O1146" s="6" t="s">
        <v>22</v>
      </c>
    </row>
    <row r="1147" spans="1:15">
      <c r="A1147" s="6" t="s">
        <v>15</v>
      </c>
      <c r="B1147" s="6" t="str">
        <f>"FES1162688782"</f>
        <v>FES1162688782</v>
      </c>
      <c r="C1147" s="7">
        <v>43594</v>
      </c>
      <c r="D1147" s="6">
        <v>1</v>
      </c>
      <c r="E1147" s="6">
        <v>2170687150</v>
      </c>
      <c r="F1147" s="6" t="s">
        <v>16</v>
      </c>
      <c r="G1147" s="6" t="s">
        <v>17</v>
      </c>
      <c r="H1147" s="6" t="s">
        <v>17</v>
      </c>
      <c r="I1147" s="6" t="s">
        <v>23</v>
      </c>
      <c r="J1147" s="6" t="s">
        <v>1154</v>
      </c>
      <c r="K1147" s="7">
        <v>43595</v>
      </c>
      <c r="L1147" s="8">
        <v>0.34791666666666665</v>
      </c>
      <c r="M1147" s="6" t="s">
        <v>2000</v>
      </c>
      <c r="N1147" s="6" t="s">
        <v>21</v>
      </c>
      <c r="O1147" s="6" t="s">
        <v>22</v>
      </c>
    </row>
    <row r="1148" spans="1:15" hidden="1">
      <c r="A1148" t="s">
        <v>15</v>
      </c>
      <c r="B1148" t="str">
        <f>"FES1162688737"</f>
        <v>FES1162688737</v>
      </c>
      <c r="C1148" s="9">
        <v>43594</v>
      </c>
      <c r="D1148">
        <v>1</v>
      </c>
      <c r="E1148">
        <v>217687175</v>
      </c>
      <c r="F1148" t="s">
        <v>16</v>
      </c>
      <c r="G1148" t="s">
        <v>17</v>
      </c>
      <c r="H1148" t="s">
        <v>141</v>
      </c>
      <c r="I1148" t="s">
        <v>433</v>
      </c>
      <c r="J1148" t="s">
        <v>434</v>
      </c>
      <c r="K1148" s="9">
        <v>43595</v>
      </c>
      <c r="L1148" s="10">
        <v>0.4236111111111111</v>
      </c>
      <c r="M1148" t="s">
        <v>2001</v>
      </c>
      <c r="N1148" t="s">
        <v>2002</v>
      </c>
      <c r="O1148" t="s">
        <v>22</v>
      </c>
    </row>
    <row r="1149" spans="1:15">
      <c r="A1149" s="6" t="s">
        <v>15</v>
      </c>
      <c r="B1149" s="6" t="str">
        <f>"FES1162688900"</f>
        <v>FES1162688900</v>
      </c>
      <c r="C1149" s="7">
        <v>43594</v>
      </c>
      <c r="D1149" s="6">
        <v>1</v>
      </c>
      <c r="E1149" s="6">
        <v>2170686325</v>
      </c>
      <c r="F1149" s="6" t="s">
        <v>16</v>
      </c>
      <c r="G1149" s="6" t="s">
        <v>17</v>
      </c>
      <c r="H1149" s="6" t="s">
        <v>17</v>
      </c>
      <c r="I1149" s="6" t="s">
        <v>29</v>
      </c>
      <c r="J1149" s="6" t="s">
        <v>1080</v>
      </c>
      <c r="K1149" s="7">
        <v>43595</v>
      </c>
      <c r="L1149" s="8">
        <v>0.33333333333333331</v>
      </c>
      <c r="M1149" s="6" t="s">
        <v>56</v>
      </c>
      <c r="N1149" s="6" t="s">
        <v>21</v>
      </c>
      <c r="O1149" s="6" t="s">
        <v>22</v>
      </c>
    </row>
    <row r="1150" spans="1:15" hidden="1">
      <c r="A1150" t="s">
        <v>15</v>
      </c>
      <c r="B1150" t="str">
        <f>"FES1162688942"</f>
        <v>FES1162688942</v>
      </c>
      <c r="C1150" s="9">
        <v>43594</v>
      </c>
      <c r="D1150">
        <v>1</v>
      </c>
      <c r="E1150">
        <v>2170687543</v>
      </c>
      <c r="F1150" t="s">
        <v>16</v>
      </c>
      <c r="G1150" t="s">
        <v>17</v>
      </c>
      <c r="H1150" t="s">
        <v>1055</v>
      </c>
      <c r="I1150" t="s">
        <v>2003</v>
      </c>
      <c r="J1150" t="s">
        <v>1605</v>
      </c>
      <c r="K1150" s="9">
        <v>43595</v>
      </c>
      <c r="L1150" s="10">
        <v>0.625</v>
      </c>
      <c r="M1150" t="s">
        <v>2004</v>
      </c>
      <c r="N1150" t="s">
        <v>2005</v>
      </c>
      <c r="O1150" t="s">
        <v>22</v>
      </c>
    </row>
    <row r="1151" spans="1:15" hidden="1">
      <c r="A1151" t="s">
        <v>15</v>
      </c>
      <c r="B1151" t="str">
        <f>"FES1162688808"</f>
        <v>FES1162688808</v>
      </c>
      <c r="C1151" s="9">
        <v>43594</v>
      </c>
      <c r="D1151">
        <v>1</v>
      </c>
      <c r="E1151">
        <v>2170685352</v>
      </c>
      <c r="F1151" t="s">
        <v>16</v>
      </c>
      <c r="G1151" t="s">
        <v>17</v>
      </c>
      <c r="H1151" t="s">
        <v>141</v>
      </c>
      <c r="I1151" t="s">
        <v>185</v>
      </c>
      <c r="J1151" t="s">
        <v>2006</v>
      </c>
      <c r="K1151" s="9">
        <v>43595</v>
      </c>
      <c r="L1151" s="10">
        <v>0.3833333333333333</v>
      </c>
      <c r="M1151" t="s">
        <v>2007</v>
      </c>
      <c r="N1151" t="s">
        <v>2008</v>
      </c>
      <c r="O1151" t="s">
        <v>22</v>
      </c>
    </row>
    <row r="1152" spans="1:15" hidden="1">
      <c r="A1152" t="s">
        <v>15</v>
      </c>
      <c r="B1152" t="str">
        <f>"FES1162688939"</f>
        <v>FES1162688939</v>
      </c>
      <c r="C1152" s="9">
        <v>43594</v>
      </c>
      <c r="D1152">
        <v>1</v>
      </c>
      <c r="E1152">
        <v>2170687539</v>
      </c>
      <c r="F1152" t="s">
        <v>16</v>
      </c>
      <c r="G1152" t="s">
        <v>17</v>
      </c>
      <c r="H1152" t="s">
        <v>141</v>
      </c>
      <c r="I1152" t="s">
        <v>185</v>
      </c>
      <c r="J1152" t="s">
        <v>1011</v>
      </c>
      <c r="K1152" s="9">
        <v>43595</v>
      </c>
      <c r="L1152" s="10">
        <v>0.3354166666666667</v>
      </c>
      <c r="M1152" t="s">
        <v>1012</v>
      </c>
      <c r="N1152" t="s">
        <v>2009</v>
      </c>
      <c r="O1152" t="s">
        <v>22</v>
      </c>
    </row>
    <row r="1153" spans="1:15" hidden="1">
      <c r="A1153" t="s">
        <v>15</v>
      </c>
      <c r="B1153" t="str">
        <f>"FES1162688970"</f>
        <v>FES1162688970</v>
      </c>
      <c r="C1153" s="9">
        <v>43594</v>
      </c>
      <c r="D1153">
        <v>1</v>
      </c>
      <c r="E1153">
        <v>2170687341</v>
      </c>
      <c r="F1153" t="s">
        <v>16</v>
      </c>
      <c r="G1153" t="s">
        <v>17</v>
      </c>
      <c r="H1153" t="s">
        <v>141</v>
      </c>
      <c r="I1153" t="s">
        <v>142</v>
      </c>
      <c r="J1153" t="s">
        <v>864</v>
      </c>
      <c r="K1153" s="9">
        <v>43595</v>
      </c>
      <c r="L1153" s="10">
        <v>0.34652777777777777</v>
      </c>
      <c r="M1153" t="s">
        <v>1803</v>
      </c>
      <c r="N1153" t="s">
        <v>2010</v>
      </c>
      <c r="O1153" t="s">
        <v>22</v>
      </c>
    </row>
    <row r="1154" spans="1:15">
      <c r="A1154" s="6" t="s">
        <v>15</v>
      </c>
      <c r="B1154" s="6" t="str">
        <f>"FES1162688897"</f>
        <v>FES1162688897</v>
      </c>
      <c r="C1154" s="7">
        <v>43594</v>
      </c>
      <c r="D1154" s="6">
        <v>1</v>
      </c>
      <c r="E1154" s="6">
        <v>2170686322</v>
      </c>
      <c r="F1154" s="6" t="s">
        <v>16</v>
      </c>
      <c r="G1154" s="6" t="s">
        <v>17</v>
      </c>
      <c r="H1154" s="6" t="s">
        <v>17</v>
      </c>
      <c r="I1154" s="6" t="s">
        <v>29</v>
      </c>
      <c r="J1154" s="6" t="s">
        <v>1080</v>
      </c>
      <c r="K1154" s="7">
        <v>43595</v>
      </c>
      <c r="L1154" s="8">
        <v>0.33333333333333331</v>
      </c>
      <c r="M1154" s="6" t="s">
        <v>56</v>
      </c>
      <c r="N1154" s="6" t="s">
        <v>21</v>
      </c>
      <c r="O1154" s="6" t="s">
        <v>22</v>
      </c>
    </row>
    <row r="1155" spans="1:15">
      <c r="A1155" s="6" t="s">
        <v>15</v>
      </c>
      <c r="B1155" s="6" t="str">
        <f>"FES1162689133"</f>
        <v>FES1162689133</v>
      </c>
      <c r="C1155" s="7">
        <v>43594</v>
      </c>
      <c r="D1155" s="6">
        <v>1</v>
      </c>
      <c r="E1155" s="6">
        <v>2170686013</v>
      </c>
      <c r="F1155" s="6" t="s">
        <v>16</v>
      </c>
      <c r="G1155" s="6" t="s">
        <v>17</v>
      </c>
      <c r="H1155" s="6" t="s">
        <v>17</v>
      </c>
      <c r="I1155" s="6" t="s">
        <v>23</v>
      </c>
      <c r="J1155" s="6" t="s">
        <v>483</v>
      </c>
      <c r="K1155" s="7">
        <v>43595</v>
      </c>
      <c r="L1155" s="8">
        <v>0.3298611111111111</v>
      </c>
      <c r="M1155" s="6" t="s">
        <v>1998</v>
      </c>
      <c r="N1155" s="6" t="s">
        <v>21</v>
      </c>
      <c r="O1155" s="6" t="s">
        <v>22</v>
      </c>
    </row>
    <row r="1156" spans="1:15" hidden="1">
      <c r="A1156" t="s">
        <v>15</v>
      </c>
      <c r="B1156" t="str">
        <f>"FES1162688753"</f>
        <v>FES1162688753</v>
      </c>
      <c r="C1156" s="9">
        <v>43594</v>
      </c>
      <c r="D1156">
        <v>1</v>
      </c>
      <c r="E1156">
        <v>2170687467</v>
      </c>
      <c r="F1156" t="s">
        <v>16</v>
      </c>
      <c r="G1156" t="s">
        <v>17</v>
      </c>
      <c r="H1156" t="s">
        <v>290</v>
      </c>
      <c r="I1156" t="s">
        <v>291</v>
      </c>
      <c r="J1156" t="s">
        <v>2011</v>
      </c>
      <c r="K1156" s="9">
        <v>43595</v>
      </c>
      <c r="L1156" s="10">
        <v>0.4291666666666667</v>
      </c>
      <c r="M1156" t="s">
        <v>1914</v>
      </c>
      <c r="N1156" t="s">
        <v>2012</v>
      </c>
      <c r="O1156" t="s">
        <v>22</v>
      </c>
    </row>
    <row r="1157" spans="1:15">
      <c r="A1157" s="6" t="s">
        <v>15</v>
      </c>
      <c r="B1157" s="6" t="str">
        <f>"FES1162688907"</f>
        <v>FES1162688907</v>
      </c>
      <c r="C1157" s="7">
        <v>43594</v>
      </c>
      <c r="D1157" s="6">
        <v>1</v>
      </c>
      <c r="E1157" s="6">
        <v>2170686858</v>
      </c>
      <c r="F1157" s="6" t="s">
        <v>16</v>
      </c>
      <c r="G1157" s="6" t="s">
        <v>17</v>
      </c>
      <c r="H1157" s="6" t="s">
        <v>17</v>
      </c>
      <c r="I1157" s="6" t="s">
        <v>23</v>
      </c>
      <c r="J1157" s="6" t="s">
        <v>70</v>
      </c>
      <c r="K1157" s="7">
        <v>43595</v>
      </c>
      <c r="L1157" s="8">
        <v>0.31319444444444444</v>
      </c>
      <c r="M1157" s="6" t="s">
        <v>1845</v>
      </c>
      <c r="N1157" s="6" t="s">
        <v>21</v>
      </c>
      <c r="O1157" s="6" t="s">
        <v>22</v>
      </c>
    </row>
    <row r="1158" spans="1:15">
      <c r="A1158" s="6" t="s">
        <v>15</v>
      </c>
      <c r="B1158" s="6" t="str">
        <f>"FES1162688778"</f>
        <v>FES1162688778</v>
      </c>
      <c r="C1158" s="7">
        <v>43594</v>
      </c>
      <c r="D1158" s="6">
        <v>1</v>
      </c>
      <c r="E1158" s="6">
        <v>2170686858</v>
      </c>
      <c r="F1158" s="6" t="s">
        <v>16</v>
      </c>
      <c r="G1158" s="6" t="s">
        <v>17</v>
      </c>
      <c r="H1158" s="6" t="s">
        <v>17</v>
      </c>
      <c r="I1158" s="6" t="s">
        <v>23</v>
      </c>
      <c r="J1158" s="6" t="s">
        <v>70</v>
      </c>
      <c r="K1158" s="7">
        <v>43595</v>
      </c>
      <c r="L1158" s="8">
        <v>0.31319444444444444</v>
      </c>
      <c r="M1158" s="6" t="s">
        <v>1845</v>
      </c>
      <c r="N1158" s="6" t="s">
        <v>21</v>
      </c>
      <c r="O1158" s="6" t="s">
        <v>22</v>
      </c>
    </row>
    <row r="1159" spans="1:15">
      <c r="A1159" s="6" t="s">
        <v>15</v>
      </c>
      <c r="B1159" s="6" t="str">
        <f>"FES1162688653"</f>
        <v>FES1162688653</v>
      </c>
      <c r="C1159" s="7">
        <v>43594</v>
      </c>
      <c r="D1159" s="6">
        <v>1</v>
      </c>
      <c r="E1159" s="6">
        <v>2170687432</v>
      </c>
      <c r="F1159" s="6" t="s">
        <v>16</v>
      </c>
      <c r="G1159" s="6" t="s">
        <v>17</v>
      </c>
      <c r="H1159" s="6" t="s">
        <v>17</v>
      </c>
      <c r="I1159" s="6" t="s">
        <v>23</v>
      </c>
      <c r="J1159" s="6" t="s">
        <v>2013</v>
      </c>
      <c r="K1159" s="7">
        <v>43595</v>
      </c>
      <c r="L1159" s="8">
        <v>0.30763888888888891</v>
      </c>
      <c r="M1159" s="6" t="s">
        <v>2014</v>
      </c>
      <c r="N1159" s="6" t="s">
        <v>21</v>
      </c>
      <c r="O1159" s="6" t="s">
        <v>22</v>
      </c>
    </row>
    <row r="1160" spans="1:15" hidden="1">
      <c r="A1160" t="s">
        <v>15</v>
      </c>
      <c r="B1160" t="str">
        <f>"FES1162688740"</f>
        <v>FES1162688740</v>
      </c>
      <c r="C1160" s="9">
        <v>43594</v>
      </c>
      <c r="D1160">
        <v>1</v>
      </c>
      <c r="E1160" t="s">
        <v>22</v>
      </c>
      <c r="F1160" t="s">
        <v>16</v>
      </c>
      <c r="G1160" t="s">
        <v>17</v>
      </c>
      <c r="H1160" t="s">
        <v>43</v>
      </c>
      <c r="I1160" t="s">
        <v>60</v>
      </c>
      <c r="J1160" t="s">
        <v>61</v>
      </c>
      <c r="K1160" s="9">
        <v>43598</v>
      </c>
      <c r="L1160" s="10">
        <v>0.41666666666666669</v>
      </c>
      <c r="M1160" t="s">
        <v>2015</v>
      </c>
      <c r="N1160" t="s">
        <v>2016</v>
      </c>
      <c r="O1160">
        <v>2170687225</v>
      </c>
    </row>
    <row r="1161" spans="1:15" hidden="1">
      <c r="A1161" t="s">
        <v>15</v>
      </c>
      <c r="B1161" t="str">
        <f>"FES1162688805"</f>
        <v>FES1162688805</v>
      </c>
      <c r="C1161" s="9">
        <v>43594</v>
      </c>
      <c r="D1161">
        <v>1</v>
      </c>
      <c r="E1161">
        <v>2170684995</v>
      </c>
      <c r="F1161" t="s">
        <v>16</v>
      </c>
      <c r="G1161" t="s">
        <v>17</v>
      </c>
      <c r="H1161" t="s">
        <v>43</v>
      </c>
      <c r="I1161" t="s">
        <v>44</v>
      </c>
      <c r="J1161" t="s">
        <v>51</v>
      </c>
      <c r="K1161" s="9">
        <v>43598</v>
      </c>
      <c r="L1161" s="10">
        <v>0.34791666666666665</v>
      </c>
      <c r="M1161" t="s">
        <v>1394</v>
      </c>
      <c r="N1161" t="s">
        <v>2017</v>
      </c>
      <c r="O1161" t="s">
        <v>22</v>
      </c>
    </row>
    <row r="1162" spans="1:15" hidden="1">
      <c r="A1162" t="s">
        <v>15</v>
      </c>
      <c r="B1162" t="str">
        <f>"FES1162688062"</f>
        <v>FES1162688062</v>
      </c>
      <c r="C1162" s="9">
        <v>43594</v>
      </c>
      <c r="D1162">
        <v>1</v>
      </c>
      <c r="E1162">
        <v>217068735</v>
      </c>
      <c r="F1162" t="s">
        <v>16</v>
      </c>
      <c r="G1162" t="s">
        <v>17</v>
      </c>
      <c r="H1162" t="s">
        <v>425</v>
      </c>
      <c r="I1162" t="s">
        <v>426</v>
      </c>
      <c r="J1162" t="s">
        <v>783</v>
      </c>
      <c r="K1162" s="9">
        <v>43595</v>
      </c>
      <c r="L1162" s="10">
        <v>0.39583333333333331</v>
      </c>
      <c r="M1162" t="s">
        <v>784</v>
      </c>
      <c r="N1162" t="s">
        <v>2018</v>
      </c>
      <c r="O1162" t="s">
        <v>22</v>
      </c>
    </row>
    <row r="1163" spans="1:15" hidden="1">
      <c r="A1163" t="s">
        <v>15</v>
      </c>
      <c r="B1163" t="str">
        <f>"FES1162689053"</f>
        <v>FES1162689053</v>
      </c>
      <c r="C1163" s="9">
        <v>43594</v>
      </c>
      <c r="D1163">
        <v>1</v>
      </c>
      <c r="E1163">
        <v>2170687637</v>
      </c>
      <c r="F1163" t="s">
        <v>16</v>
      </c>
      <c r="G1163" t="s">
        <v>17</v>
      </c>
      <c r="H1163" t="s">
        <v>37</v>
      </c>
      <c r="I1163" t="s">
        <v>38</v>
      </c>
      <c r="J1163" t="s">
        <v>766</v>
      </c>
      <c r="K1163" s="9">
        <v>43595</v>
      </c>
      <c r="L1163" s="10">
        <v>0.36180555555555555</v>
      </c>
      <c r="M1163" t="s">
        <v>1827</v>
      </c>
      <c r="N1163" t="s">
        <v>2019</v>
      </c>
      <c r="O1163" t="s">
        <v>22</v>
      </c>
    </row>
    <row r="1164" spans="1:15" hidden="1">
      <c r="A1164" t="s">
        <v>15</v>
      </c>
      <c r="B1164" t="str">
        <f>"FES1162688873"</f>
        <v>FES1162688873</v>
      </c>
      <c r="C1164" s="9">
        <v>43594</v>
      </c>
      <c r="D1164">
        <v>1</v>
      </c>
      <c r="E1164">
        <v>2170686048</v>
      </c>
      <c r="F1164" t="s">
        <v>16</v>
      </c>
      <c r="G1164" t="s">
        <v>17</v>
      </c>
      <c r="H1164" t="s">
        <v>141</v>
      </c>
      <c r="I1164" t="s">
        <v>448</v>
      </c>
      <c r="J1164" t="s">
        <v>449</v>
      </c>
      <c r="K1164" s="9">
        <v>43595</v>
      </c>
      <c r="L1164" s="10">
        <v>0.38750000000000001</v>
      </c>
      <c r="M1164" t="s">
        <v>450</v>
      </c>
      <c r="N1164" t="s">
        <v>2020</v>
      </c>
      <c r="O1164" t="s">
        <v>22</v>
      </c>
    </row>
    <row r="1165" spans="1:15">
      <c r="A1165" s="6" t="s">
        <v>15</v>
      </c>
      <c r="B1165" s="6" t="str">
        <f>"FES1162688757"</f>
        <v>FES1162688757</v>
      </c>
      <c r="C1165" s="7">
        <v>43594</v>
      </c>
      <c r="D1165" s="6">
        <v>1</v>
      </c>
      <c r="E1165" s="6">
        <v>217067477</v>
      </c>
      <c r="F1165" s="6" t="s">
        <v>16</v>
      </c>
      <c r="G1165" s="6" t="s">
        <v>17</v>
      </c>
      <c r="H1165" s="6" t="s">
        <v>17</v>
      </c>
      <c r="I1165" s="6" t="s">
        <v>103</v>
      </c>
      <c r="J1165" s="6" t="s">
        <v>695</v>
      </c>
      <c r="K1165" s="7">
        <v>43595</v>
      </c>
      <c r="L1165" s="8">
        <v>0.4375</v>
      </c>
      <c r="M1165" s="6" t="s">
        <v>325</v>
      </c>
      <c r="N1165" s="6" t="s">
        <v>21</v>
      </c>
      <c r="O1165" s="6" t="s">
        <v>22</v>
      </c>
    </row>
    <row r="1166" spans="1:15">
      <c r="A1166" s="6" t="s">
        <v>15</v>
      </c>
      <c r="B1166" s="6" t="str">
        <f>"FES1162689110"</f>
        <v>FES1162689110</v>
      </c>
      <c r="C1166" s="7">
        <v>43594</v>
      </c>
      <c r="D1166" s="6">
        <v>1</v>
      </c>
      <c r="E1166" s="6">
        <v>2170685727</v>
      </c>
      <c r="F1166" s="6" t="s">
        <v>16</v>
      </c>
      <c r="G1166" s="6" t="s">
        <v>17</v>
      </c>
      <c r="H1166" s="6" t="s">
        <v>17</v>
      </c>
      <c r="I1166" s="6" t="s">
        <v>23</v>
      </c>
      <c r="J1166" s="6" t="s">
        <v>106</v>
      </c>
      <c r="K1166" s="7">
        <v>43595</v>
      </c>
      <c r="L1166" s="8">
        <v>0.36874999999999997</v>
      </c>
      <c r="M1166" s="6" t="s">
        <v>106</v>
      </c>
      <c r="N1166" s="6" t="s">
        <v>21</v>
      </c>
      <c r="O1166" s="6" t="s">
        <v>22</v>
      </c>
    </row>
    <row r="1167" spans="1:15" hidden="1">
      <c r="A1167" t="s">
        <v>15</v>
      </c>
      <c r="B1167" t="str">
        <f>"FES1162689097"</f>
        <v>FES1162689097</v>
      </c>
      <c r="C1167" s="9">
        <v>43594</v>
      </c>
      <c r="D1167">
        <v>1</v>
      </c>
      <c r="E1167">
        <v>21706876288</v>
      </c>
      <c r="F1167" t="s">
        <v>16</v>
      </c>
      <c r="G1167" t="s">
        <v>17</v>
      </c>
      <c r="H1167" t="s">
        <v>32</v>
      </c>
      <c r="I1167" t="s">
        <v>2021</v>
      </c>
      <c r="J1167" t="s">
        <v>2022</v>
      </c>
      <c r="K1167" s="9">
        <v>43598</v>
      </c>
      <c r="L1167" t="s">
        <v>2023</v>
      </c>
      <c r="M1167" t="s">
        <v>2024</v>
      </c>
      <c r="N1167" t="s">
        <v>2025</v>
      </c>
      <c r="O1167" t="s">
        <v>22</v>
      </c>
    </row>
    <row r="1168" spans="1:15">
      <c r="A1168" s="6" t="s">
        <v>15</v>
      </c>
      <c r="B1168" s="6" t="str">
        <f>"FES1162688930"</f>
        <v>FES1162688930</v>
      </c>
      <c r="C1168" s="7">
        <v>43594</v>
      </c>
      <c r="D1168" s="6">
        <v>1</v>
      </c>
      <c r="E1168" s="6">
        <v>2170687325</v>
      </c>
      <c r="F1168" s="6" t="s">
        <v>16</v>
      </c>
      <c r="G1168" s="6" t="s">
        <v>17</v>
      </c>
      <c r="H1168" s="6" t="s">
        <v>17</v>
      </c>
      <c r="I1168" s="6" t="s">
        <v>23</v>
      </c>
      <c r="J1168" s="6" t="s">
        <v>479</v>
      </c>
      <c r="K1168" s="7">
        <v>43595</v>
      </c>
      <c r="L1168" s="8">
        <v>0.40277777777777773</v>
      </c>
      <c r="M1168" s="6" t="s">
        <v>1019</v>
      </c>
      <c r="N1168" s="6" t="s">
        <v>21</v>
      </c>
      <c r="O1168" s="6" t="s">
        <v>22</v>
      </c>
    </row>
    <row r="1169" spans="1:15">
      <c r="A1169" s="6" t="s">
        <v>15</v>
      </c>
      <c r="B1169" s="6" t="str">
        <f>"FES1162688877"</f>
        <v>FES1162688877</v>
      </c>
      <c r="C1169" s="7">
        <v>43594</v>
      </c>
      <c r="D1169" s="6">
        <v>1</v>
      </c>
      <c r="E1169" s="6">
        <v>2170686098</v>
      </c>
      <c r="F1169" s="6" t="s">
        <v>16</v>
      </c>
      <c r="G1169" s="6" t="s">
        <v>17</v>
      </c>
      <c r="H1169" s="6" t="s">
        <v>17</v>
      </c>
      <c r="I1169" s="6" t="s">
        <v>23</v>
      </c>
      <c r="J1169" s="6" t="s">
        <v>2026</v>
      </c>
      <c r="K1169" s="7">
        <v>43595</v>
      </c>
      <c r="L1169" s="8">
        <v>0.37638888888888888</v>
      </c>
      <c r="M1169" s="6" t="s">
        <v>2027</v>
      </c>
      <c r="N1169" s="6" t="s">
        <v>21</v>
      </c>
      <c r="O1169" s="6" t="s">
        <v>22</v>
      </c>
    </row>
    <row r="1170" spans="1:15" hidden="1">
      <c r="A1170" t="s">
        <v>15</v>
      </c>
      <c r="B1170" t="str">
        <f>"FES1162688973"</f>
        <v>FES1162688973</v>
      </c>
      <c r="C1170" s="9">
        <v>43594</v>
      </c>
      <c r="D1170">
        <v>1</v>
      </c>
      <c r="E1170">
        <v>2170687558</v>
      </c>
      <c r="F1170" t="s">
        <v>16</v>
      </c>
      <c r="G1170" t="s">
        <v>17</v>
      </c>
      <c r="H1170" t="s">
        <v>141</v>
      </c>
      <c r="I1170" t="s">
        <v>433</v>
      </c>
      <c r="J1170" t="s">
        <v>2028</v>
      </c>
      <c r="K1170" s="9">
        <v>43595</v>
      </c>
      <c r="L1170" s="10">
        <v>0.34027777777777773</v>
      </c>
      <c r="M1170" t="s">
        <v>2029</v>
      </c>
      <c r="N1170" t="s">
        <v>2030</v>
      </c>
      <c r="O1170" t="s">
        <v>22</v>
      </c>
    </row>
    <row r="1171" spans="1:15" hidden="1">
      <c r="A1171" t="s">
        <v>15</v>
      </c>
      <c r="B1171" t="str">
        <f>"FES1162688821"</f>
        <v>FES1162688821</v>
      </c>
      <c r="C1171" s="9">
        <v>43594</v>
      </c>
      <c r="D1171">
        <v>1</v>
      </c>
      <c r="E1171">
        <v>2170685559</v>
      </c>
      <c r="F1171" t="s">
        <v>16</v>
      </c>
      <c r="G1171" t="s">
        <v>17</v>
      </c>
      <c r="H1171" t="s">
        <v>141</v>
      </c>
      <c r="I1171" t="s">
        <v>185</v>
      </c>
      <c r="J1171" t="s">
        <v>503</v>
      </c>
      <c r="K1171" s="9">
        <v>43595</v>
      </c>
      <c r="L1171" s="10">
        <v>0.3972222222222222</v>
      </c>
      <c r="M1171" t="s">
        <v>1355</v>
      </c>
      <c r="N1171" t="s">
        <v>2031</v>
      </c>
      <c r="O1171" t="s">
        <v>22</v>
      </c>
    </row>
    <row r="1172" spans="1:15">
      <c r="A1172" s="6" t="s">
        <v>15</v>
      </c>
      <c r="B1172" s="6" t="str">
        <f>"FES1162689084"</f>
        <v>FES1162689084</v>
      </c>
      <c r="C1172" s="7">
        <v>43594</v>
      </c>
      <c r="D1172" s="6">
        <v>1</v>
      </c>
      <c r="E1172" s="6">
        <v>2170686328</v>
      </c>
      <c r="F1172" s="6" t="s">
        <v>16</v>
      </c>
      <c r="G1172" s="6" t="s">
        <v>17</v>
      </c>
      <c r="H1172" s="6" t="s">
        <v>17</v>
      </c>
      <c r="I1172" s="6" t="s">
        <v>18</v>
      </c>
      <c r="J1172" s="6" t="s">
        <v>2032</v>
      </c>
      <c r="K1172" s="7">
        <v>43595</v>
      </c>
      <c r="L1172" s="8">
        <v>0.4770833333333333</v>
      </c>
      <c r="M1172" s="6" t="s">
        <v>2033</v>
      </c>
      <c r="N1172" s="6" t="s">
        <v>21</v>
      </c>
      <c r="O1172" s="6" t="s">
        <v>22</v>
      </c>
    </row>
    <row r="1173" spans="1:15">
      <c r="A1173" s="6" t="s">
        <v>15</v>
      </c>
      <c r="B1173" s="6" t="str">
        <f>"FES1162688830"</f>
        <v>FES1162688830</v>
      </c>
      <c r="C1173" s="7">
        <v>43594</v>
      </c>
      <c r="D1173" s="6">
        <v>1</v>
      </c>
      <c r="E1173" s="6">
        <v>2170685657</v>
      </c>
      <c r="F1173" s="6" t="s">
        <v>16</v>
      </c>
      <c r="G1173" s="6" t="s">
        <v>17</v>
      </c>
      <c r="H1173" s="6" t="s">
        <v>17</v>
      </c>
      <c r="I1173" s="6" t="s">
        <v>29</v>
      </c>
      <c r="J1173" s="6" t="s">
        <v>30</v>
      </c>
      <c r="K1173" s="7">
        <v>43595</v>
      </c>
      <c r="L1173" s="8">
        <v>0.33333333333333331</v>
      </c>
      <c r="M1173" s="6" t="s">
        <v>31</v>
      </c>
      <c r="N1173" s="6" t="s">
        <v>21</v>
      </c>
      <c r="O1173" s="6" t="s">
        <v>22</v>
      </c>
    </row>
    <row r="1174" spans="1:15">
      <c r="A1174" s="6" t="s">
        <v>15</v>
      </c>
      <c r="B1174" s="6" t="str">
        <f>"FES1162688689"</f>
        <v>FES1162688689</v>
      </c>
      <c r="C1174" s="7">
        <v>43594</v>
      </c>
      <c r="D1174" s="6">
        <v>1</v>
      </c>
      <c r="E1174" s="6">
        <v>2170682854</v>
      </c>
      <c r="F1174" s="6" t="s">
        <v>16</v>
      </c>
      <c r="G1174" s="6" t="s">
        <v>17</v>
      </c>
      <c r="H1174" s="6" t="s">
        <v>17</v>
      </c>
      <c r="I1174" s="6" t="s">
        <v>64</v>
      </c>
      <c r="J1174" s="6" t="s">
        <v>1094</v>
      </c>
      <c r="K1174" s="7">
        <v>43595</v>
      </c>
      <c r="L1174" s="8">
        <v>0.43611111111111112</v>
      </c>
      <c r="M1174" s="6" t="s">
        <v>2034</v>
      </c>
      <c r="N1174" s="6" t="s">
        <v>21</v>
      </c>
      <c r="O1174" s="6" t="s">
        <v>22</v>
      </c>
    </row>
    <row r="1175" spans="1:15">
      <c r="A1175" s="6" t="s">
        <v>15</v>
      </c>
      <c r="B1175" s="6" t="str">
        <f>"FES1162688707"</f>
        <v>FES1162688707</v>
      </c>
      <c r="C1175" s="7">
        <v>43594</v>
      </c>
      <c r="D1175" s="6">
        <v>1</v>
      </c>
      <c r="E1175" s="6">
        <v>2170683833</v>
      </c>
      <c r="F1175" s="6" t="s">
        <v>16</v>
      </c>
      <c r="G1175" s="6" t="s">
        <v>17</v>
      </c>
      <c r="H1175" s="6" t="s">
        <v>17</v>
      </c>
      <c r="I1175" s="6" t="s">
        <v>64</v>
      </c>
      <c r="J1175" s="6" t="s">
        <v>65</v>
      </c>
      <c r="K1175" s="7">
        <v>43595</v>
      </c>
      <c r="L1175" s="8">
        <v>0.32916666666666666</v>
      </c>
      <c r="M1175" s="6" t="s">
        <v>1846</v>
      </c>
      <c r="N1175" s="6" t="s">
        <v>21</v>
      </c>
      <c r="O1175" s="6" t="s">
        <v>22</v>
      </c>
    </row>
    <row r="1176" spans="1:15" hidden="1">
      <c r="A1176" t="s">
        <v>15</v>
      </c>
      <c r="B1176" t="str">
        <f>"FES1162689085"</f>
        <v>FES1162689085</v>
      </c>
      <c r="C1176" s="9">
        <v>43594</v>
      </c>
      <c r="D1176">
        <v>1</v>
      </c>
      <c r="E1176">
        <v>2170678457</v>
      </c>
      <c r="F1176" t="s">
        <v>16</v>
      </c>
      <c r="G1176" t="s">
        <v>17</v>
      </c>
      <c r="H1176" t="s">
        <v>32</v>
      </c>
      <c r="I1176" t="s">
        <v>33</v>
      </c>
      <c r="J1176" t="s">
        <v>34</v>
      </c>
      <c r="K1176" s="9">
        <v>43595</v>
      </c>
      <c r="L1176" s="10">
        <v>0.34722222222222227</v>
      </c>
      <c r="M1176" t="s">
        <v>35</v>
      </c>
      <c r="N1176" t="s">
        <v>2035</v>
      </c>
      <c r="O1176" t="s">
        <v>22</v>
      </c>
    </row>
    <row r="1177" spans="1:15" ht="15.75" thickBot="1">
      <c r="A1177" s="11" t="s">
        <v>15</v>
      </c>
      <c r="B1177" s="11" t="str">
        <f>"FES1162689021"</f>
        <v>FES1162689021</v>
      </c>
      <c r="C1177" s="12">
        <v>43594</v>
      </c>
      <c r="D1177" s="11">
        <v>1</v>
      </c>
      <c r="E1177" s="11">
        <v>2170682703</v>
      </c>
      <c r="F1177" s="11" t="s">
        <v>16</v>
      </c>
      <c r="G1177" s="11" t="s">
        <v>17</v>
      </c>
      <c r="H1177" s="11" t="s">
        <v>17</v>
      </c>
      <c r="I1177" s="11" t="s">
        <v>18</v>
      </c>
      <c r="J1177" s="11" t="s">
        <v>2036</v>
      </c>
      <c r="K1177" s="12">
        <v>43595</v>
      </c>
      <c r="L1177" s="13">
        <v>0.39305555555555555</v>
      </c>
      <c r="M1177" s="11" t="s">
        <v>1643</v>
      </c>
      <c r="N1177" s="11" t="s">
        <v>21</v>
      </c>
      <c r="O1177" s="11" t="s">
        <v>22</v>
      </c>
    </row>
    <row r="1178" spans="1:15" hidden="1">
      <c r="A1178" t="s">
        <v>15</v>
      </c>
      <c r="B1178" t="str">
        <f>"019911312357"</f>
        <v>019911312357</v>
      </c>
      <c r="C1178" s="9">
        <v>43594</v>
      </c>
      <c r="D1178">
        <v>1</v>
      </c>
      <c r="E1178" t="s">
        <v>1064</v>
      </c>
      <c r="F1178" t="s">
        <v>58</v>
      </c>
      <c r="G1178" t="s">
        <v>43</v>
      </c>
      <c r="H1178" t="s">
        <v>59</v>
      </c>
      <c r="I1178" t="s">
        <v>64</v>
      </c>
      <c r="J1178" t="s">
        <v>1061</v>
      </c>
      <c r="K1178" s="9">
        <v>43598</v>
      </c>
      <c r="L1178" s="10">
        <v>0.37083333333333335</v>
      </c>
      <c r="M1178" t="s">
        <v>2037</v>
      </c>
      <c r="N1178" t="s">
        <v>2038</v>
      </c>
      <c r="O1178" t="s">
        <v>22</v>
      </c>
    </row>
    <row r="1179" spans="1:15">
      <c r="A1179" s="6" t="s">
        <v>15</v>
      </c>
      <c r="B1179" s="6" t="str">
        <f>"FES1162689119"</f>
        <v>FES1162689119</v>
      </c>
      <c r="C1179" s="7">
        <v>43595</v>
      </c>
      <c r="D1179" s="6">
        <v>1</v>
      </c>
      <c r="E1179" s="6">
        <v>2170687700</v>
      </c>
      <c r="F1179" s="6" t="s">
        <v>16</v>
      </c>
      <c r="G1179" s="6" t="s">
        <v>17</v>
      </c>
      <c r="H1179" s="6" t="s">
        <v>17</v>
      </c>
      <c r="I1179" s="6" t="s">
        <v>18</v>
      </c>
      <c r="J1179" s="6" t="s">
        <v>19</v>
      </c>
      <c r="K1179" s="7">
        <v>43598</v>
      </c>
      <c r="L1179" s="8">
        <v>0.4236111111111111</v>
      </c>
      <c r="M1179" s="6" t="s">
        <v>2039</v>
      </c>
      <c r="N1179" s="6" t="s">
        <v>21</v>
      </c>
      <c r="O1179" s="6" t="s">
        <v>22</v>
      </c>
    </row>
    <row r="1180" spans="1:15" hidden="1">
      <c r="A1180" t="s">
        <v>15</v>
      </c>
      <c r="B1180" t="str">
        <f>"FES1162689033"</f>
        <v>FES1162689033</v>
      </c>
      <c r="C1180" s="9">
        <v>43595</v>
      </c>
      <c r="D1180">
        <v>2</v>
      </c>
      <c r="E1180">
        <v>2170687616</v>
      </c>
      <c r="F1180" t="s">
        <v>16</v>
      </c>
      <c r="G1180" t="s">
        <v>17</v>
      </c>
      <c r="H1180" t="s">
        <v>1055</v>
      </c>
      <c r="I1180" t="s">
        <v>2003</v>
      </c>
      <c r="J1180" t="s">
        <v>2040</v>
      </c>
      <c r="K1180" s="9">
        <v>43598</v>
      </c>
      <c r="L1180" s="10">
        <v>0.41666666666666669</v>
      </c>
      <c r="M1180" t="s">
        <v>2041</v>
      </c>
      <c r="N1180" t="s">
        <v>2042</v>
      </c>
      <c r="O1180" t="s">
        <v>22</v>
      </c>
    </row>
    <row r="1181" spans="1:15" hidden="1">
      <c r="A1181" t="s">
        <v>15</v>
      </c>
      <c r="B1181" t="str">
        <f>"FES1162689141"</f>
        <v>FES1162689141</v>
      </c>
      <c r="C1181" s="9">
        <v>43595</v>
      </c>
      <c r="D1181">
        <v>1</v>
      </c>
      <c r="E1181">
        <v>2170685097</v>
      </c>
      <c r="F1181" t="s">
        <v>16</v>
      </c>
      <c r="G1181" t="s">
        <v>17</v>
      </c>
      <c r="H1181" t="s">
        <v>32</v>
      </c>
      <c r="I1181" t="s">
        <v>33</v>
      </c>
      <c r="J1181" t="s">
        <v>34</v>
      </c>
      <c r="K1181" s="9">
        <v>43598</v>
      </c>
      <c r="L1181" s="10">
        <v>0.33333333333333331</v>
      </c>
      <c r="M1181" t="s">
        <v>35</v>
      </c>
      <c r="N1181" t="s">
        <v>2043</v>
      </c>
      <c r="O1181" t="s">
        <v>22</v>
      </c>
    </row>
    <row r="1182" spans="1:15" hidden="1">
      <c r="A1182" t="s">
        <v>15</v>
      </c>
      <c r="B1182" t="str">
        <f>"FES1162689171"</f>
        <v>FES1162689171</v>
      </c>
      <c r="C1182" s="9">
        <v>43595</v>
      </c>
      <c r="D1182">
        <v>1</v>
      </c>
      <c r="E1182">
        <v>2170687732</v>
      </c>
      <c r="F1182" t="s">
        <v>16</v>
      </c>
      <c r="G1182" t="s">
        <v>17</v>
      </c>
      <c r="H1182" t="s">
        <v>37</v>
      </c>
      <c r="I1182" t="s">
        <v>38</v>
      </c>
      <c r="J1182" t="s">
        <v>39</v>
      </c>
      <c r="K1182" s="9">
        <v>43598</v>
      </c>
      <c r="L1182" s="10">
        <v>0.35833333333333334</v>
      </c>
      <c r="M1182" t="s">
        <v>40</v>
      </c>
      <c r="N1182" t="s">
        <v>2044</v>
      </c>
      <c r="O1182" t="s">
        <v>22</v>
      </c>
    </row>
    <row r="1183" spans="1:15">
      <c r="A1183" s="6" t="s">
        <v>15</v>
      </c>
      <c r="B1183" s="6" t="str">
        <f>"FES1162689048"</f>
        <v>FES1162689048</v>
      </c>
      <c r="C1183" s="7">
        <v>43595</v>
      </c>
      <c r="D1183" s="6">
        <v>1</v>
      </c>
      <c r="E1183" s="6">
        <v>2170687629</v>
      </c>
      <c r="F1183" s="6" t="s">
        <v>16</v>
      </c>
      <c r="G1183" s="6" t="s">
        <v>17</v>
      </c>
      <c r="H1183" s="6" t="s">
        <v>17</v>
      </c>
      <c r="I1183" s="6" t="s">
        <v>103</v>
      </c>
      <c r="J1183" s="6" t="s">
        <v>108</v>
      </c>
      <c r="K1183" s="7">
        <v>43598</v>
      </c>
      <c r="L1183" s="8">
        <v>0.4770833333333333</v>
      </c>
      <c r="M1183" s="6" t="s">
        <v>2045</v>
      </c>
      <c r="N1183" s="6" t="s">
        <v>21</v>
      </c>
      <c r="O1183" s="6" t="s">
        <v>22</v>
      </c>
    </row>
    <row r="1184" spans="1:15">
      <c r="A1184" s="6" t="s">
        <v>15</v>
      </c>
      <c r="B1184" s="6" t="str">
        <f>"FES1162689129"</f>
        <v>FES1162689129</v>
      </c>
      <c r="C1184" s="7">
        <v>43595</v>
      </c>
      <c r="D1184" s="6">
        <v>1</v>
      </c>
      <c r="E1184" s="6">
        <v>2170687708</v>
      </c>
      <c r="F1184" s="6" t="s">
        <v>16</v>
      </c>
      <c r="G1184" s="6" t="s">
        <v>17</v>
      </c>
      <c r="H1184" s="6" t="s">
        <v>17</v>
      </c>
      <c r="I1184" s="6" t="s">
        <v>18</v>
      </c>
      <c r="J1184" s="6" t="s">
        <v>19</v>
      </c>
      <c r="K1184" s="7">
        <v>43598</v>
      </c>
      <c r="L1184" s="8">
        <v>0.42430555555555555</v>
      </c>
      <c r="M1184" s="6" t="s">
        <v>2039</v>
      </c>
      <c r="N1184" s="6" t="s">
        <v>21</v>
      </c>
      <c r="O1184" s="6" t="s">
        <v>22</v>
      </c>
    </row>
    <row r="1185" spans="1:15">
      <c r="A1185" s="6" t="s">
        <v>15</v>
      </c>
      <c r="B1185" s="6" t="str">
        <f>"FES1162689036"</f>
        <v>FES1162689036</v>
      </c>
      <c r="C1185" s="7">
        <v>43595</v>
      </c>
      <c r="D1185" s="6">
        <v>1</v>
      </c>
      <c r="E1185" s="6">
        <v>2170687625</v>
      </c>
      <c r="F1185" s="6" t="s">
        <v>16</v>
      </c>
      <c r="G1185" s="6" t="s">
        <v>17</v>
      </c>
      <c r="H1185" s="6" t="s">
        <v>17</v>
      </c>
      <c r="I1185" s="6" t="s">
        <v>610</v>
      </c>
      <c r="J1185" s="6" t="s">
        <v>2046</v>
      </c>
      <c r="K1185" s="7">
        <v>43598</v>
      </c>
      <c r="L1185" s="8">
        <v>0.42986111111111108</v>
      </c>
      <c r="M1185" s="6" t="s">
        <v>2047</v>
      </c>
      <c r="N1185" s="6" t="s">
        <v>21</v>
      </c>
      <c r="O1185" s="6" t="s">
        <v>22</v>
      </c>
    </row>
    <row r="1186" spans="1:15">
      <c r="A1186" s="6" t="s">
        <v>15</v>
      </c>
      <c r="B1186" s="6" t="str">
        <f>"FES1162689121"</f>
        <v>FES1162689121</v>
      </c>
      <c r="C1186" s="7">
        <v>43595</v>
      </c>
      <c r="D1186" s="6">
        <v>1</v>
      </c>
      <c r="E1186" s="6">
        <v>2170687704</v>
      </c>
      <c r="F1186" s="6" t="s">
        <v>1433</v>
      </c>
      <c r="G1186" s="6" t="s">
        <v>17</v>
      </c>
      <c r="H1186" s="6" t="s">
        <v>17</v>
      </c>
      <c r="I1186" s="6" t="s">
        <v>18</v>
      </c>
      <c r="J1186" s="6" t="s">
        <v>19</v>
      </c>
      <c r="K1186" s="7">
        <v>43598</v>
      </c>
      <c r="L1186" s="8">
        <v>0.4236111111111111</v>
      </c>
      <c r="M1186" s="6" t="s">
        <v>2039</v>
      </c>
      <c r="N1186" s="6" t="s">
        <v>21</v>
      </c>
      <c r="O1186" s="6" t="s">
        <v>494</v>
      </c>
    </row>
    <row r="1187" spans="1:15">
      <c r="A1187" s="6" t="s">
        <v>15</v>
      </c>
      <c r="B1187" s="6" t="str">
        <f>"FES1162688786"</f>
        <v>FES1162688786</v>
      </c>
      <c r="C1187" s="7">
        <v>43595</v>
      </c>
      <c r="D1187" s="6">
        <v>1</v>
      </c>
      <c r="E1187" s="6">
        <v>2170687474</v>
      </c>
      <c r="F1187" s="6" t="s">
        <v>16</v>
      </c>
      <c r="G1187" s="6" t="s">
        <v>17</v>
      </c>
      <c r="H1187" s="6" t="s">
        <v>17</v>
      </c>
      <c r="I1187" s="6" t="s">
        <v>81</v>
      </c>
      <c r="J1187" s="6" t="s">
        <v>2048</v>
      </c>
      <c r="K1187" s="7">
        <v>43600</v>
      </c>
      <c r="L1187" s="8">
        <v>0.36805555555555558</v>
      </c>
      <c r="M1187" s="6" t="s">
        <v>2049</v>
      </c>
      <c r="N1187" s="6" t="s">
        <v>21</v>
      </c>
      <c r="O1187" s="6" t="s">
        <v>22</v>
      </c>
    </row>
    <row r="1188" spans="1:15" hidden="1">
      <c r="A1188" t="s">
        <v>15</v>
      </c>
      <c r="B1188" t="str">
        <f>"FES1162689016"</f>
        <v>FES1162689016</v>
      </c>
      <c r="C1188" s="9">
        <v>43595</v>
      </c>
      <c r="D1188">
        <v>1</v>
      </c>
      <c r="E1188">
        <v>2170687612</v>
      </c>
      <c r="F1188" t="s">
        <v>16</v>
      </c>
      <c r="G1188" t="s">
        <v>17</v>
      </c>
      <c r="H1188" t="s">
        <v>1055</v>
      </c>
      <c r="I1188" t="s">
        <v>2050</v>
      </c>
      <c r="J1188" t="s">
        <v>2051</v>
      </c>
      <c r="K1188" s="9">
        <v>43598</v>
      </c>
      <c r="L1188" s="10">
        <v>0.41666666666666669</v>
      </c>
      <c r="M1188" t="s">
        <v>2052</v>
      </c>
      <c r="N1188" t="s">
        <v>2053</v>
      </c>
      <c r="O1188" t="s">
        <v>22</v>
      </c>
    </row>
    <row r="1189" spans="1:15">
      <c r="A1189" s="6" t="s">
        <v>15</v>
      </c>
      <c r="B1189" s="6" t="str">
        <f>"FES1162689122"</f>
        <v>FES1162689122</v>
      </c>
      <c r="C1189" s="7">
        <v>43595</v>
      </c>
      <c r="D1189" s="6">
        <v>1</v>
      </c>
      <c r="E1189" s="6">
        <v>2170687705</v>
      </c>
      <c r="F1189" s="6" t="s">
        <v>16</v>
      </c>
      <c r="G1189" s="6" t="s">
        <v>17</v>
      </c>
      <c r="H1189" s="6" t="s">
        <v>17</v>
      </c>
      <c r="I1189" s="6" t="s">
        <v>18</v>
      </c>
      <c r="J1189" s="6" t="s">
        <v>1368</v>
      </c>
      <c r="K1189" s="7">
        <v>43598</v>
      </c>
      <c r="L1189" s="8">
        <v>0.34791666666666665</v>
      </c>
      <c r="M1189" s="6" t="s">
        <v>2054</v>
      </c>
      <c r="N1189" s="6" t="s">
        <v>21</v>
      </c>
      <c r="O1189" s="6" t="s">
        <v>22</v>
      </c>
    </row>
    <row r="1190" spans="1:15" hidden="1">
      <c r="A1190" t="s">
        <v>15</v>
      </c>
      <c r="B1190" t="str">
        <f>"FES1162688950"</f>
        <v>FES1162688950</v>
      </c>
      <c r="C1190" s="9">
        <v>43595</v>
      </c>
      <c r="D1190">
        <v>1</v>
      </c>
      <c r="E1190">
        <v>2170685904</v>
      </c>
      <c r="F1190" t="s">
        <v>16</v>
      </c>
      <c r="G1190" t="s">
        <v>17</v>
      </c>
      <c r="H1190" t="s">
        <v>32</v>
      </c>
      <c r="I1190" t="s">
        <v>33</v>
      </c>
      <c r="J1190" t="s">
        <v>34</v>
      </c>
      <c r="K1190" s="9">
        <v>43598</v>
      </c>
      <c r="L1190" s="10">
        <v>0.33333333333333331</v>
      </c>
      <c r="M1190" t="s">
        <v>35</v>
      </c>
      <c r="N1190" t="s">
        <v>2055</v>
      </c>
      <c r="O1190" t="s">
        <v>22</v>
      </c>
    </row>
    <row r="1191" spans="1:15" hidden="1">
      <c r="A1191" t="s">
        <v>15</v>
      </c>
      <c r="B1191" t="str">
        <f>"FES1162688733"</f>
        <v>FES1162688733</v>
      </c>
      <c r="C1191" s="9">
        <v>43595</v>
      </c>
      <c r="D1191">
        <v>1</v>
      </c>
      <c r="E1191">
        <v>2170686803</v>
      </c>
      <c r="F1191" t="s">
        <v>16</v>
      </c>
      <c r="G1191" t="s">
        <v>17</v>
      </c>
      <c r="H1191" t="s">
        <v>132</v>
      </c>
      <c r="I1191" t="s">
        <v>838</v>
      </c>
      <c r="J1191" t="s">
        <v>839</v>
      </c>
      <c r="K1191" s="9">
        <v>43598</v>
      </c>
      <c r="L1191" s="10">
        <v>0.47916666666666669</v>
      </c>
      <c r="M1191" t="s">
        <v>839</v>
      </c>
      <c r="N1191" t="s">
        <v>2056</v>
      </c>
      <c r="O1191" t="s">
        <v>22</v>
      </c>
    </row>
    <row r="1192" spans="1:15" hidden="1">
      <c r="A1192" t="s">
        <v>15</v>
      </c>
      <c r="B1192" t="str">
        <f>"FES1162689187"</f>
        <v>FES1162689187</v>
      </c>
      <c r="C1192" s="9">
        <v>43595</v>
      </c>
      <c r="D1192">
        <v>1</v>
      </c>
      <c r="E1192">
        <v>2170687751</v>
      </c>
      <c r="F1192" t="s">
        <v>16</v>
      </c>
      <c r="G1192" t="s">
        <v>17</v>
      </c>
      <c r="H1192" t="s">
        <v>141</v>
      </c>
      <c r="I1192" t="s">
        <v>142</v>
      </c>
      <c r="J1192" t="s">
        <v>2057</v>
      </c>
      <c r="K1192" s="9">
        <v>43598</v>
      </c>
      <c r="L1192" s="10">
        <v>0.3666666666666667</v>
      </c>
      <c r="M1192" t="s">
        <v>2058</v>
      </c>
      <c r="N1192" t="s">
        <v>2059</v>
      </c>
      <c r="O1192" t="s">
        <v>22</v>
      </c>
    </row>
    <row r="1193" spans="1:15" hidden="1">
      <c r="A1193" t="s">
        <v>15</v>
      </c>
      <c r="B1193" t="str">
        <f>"FES1162689182"</f>
        <v>FES1162689182</v>
      </c>
      <c r="C1193" s="9">
        <v>43595</v>
      </c>
      <c r="D1193">
        <v>2</v>
      </c>
      <c r="E1193">
        <v>2170685049</v>
      </c>
      <c r="F1193" t="s">
        <v>58</v>
      </c>
      <c r="G1193" t="s">
        <v>59</v>
      </c>
      <c r="H1193" t="s">
        <v>32</v>
      </c>
      <c r="I1193" t="s">
        <v>33</v>
      </c>
      <c r="J1193" t="s">
        <v>34</v>
      </c>
      <c r="K1193" s="9">
        <v>43600</v>
      </c>
      <c r="L1193" s="10">
        <v>0.4513888888888889</v>
      </c>
      <c r="M1193" t="s">
        <v>2060</v>
      </c>
      <c r="N1193" t="s">
        <v>2061</v>
      </c>
      <c r="O1193" t="s">
        <v>22</v>
      </c>
    </row>
    <row r="1194" spans="1:15" hidden="1">
      <c r="A1194" t="s">
        <v>15</v>
      </c>
      <c r="B1194" t="str">
        <f>"FES1162689076"</f>
        <v>FES1162689076</v>
      </c>
      <c r="C1194" s="9">
        <v>43595</v>
      </c>
      <c r="D1194">
        <v>1</v>
      </c>
      <c r="E1194">
        <v>2170687666</v>
      </c>
      <c r="F1194" t="s">
        <v>16</v>
      </c>
      <c r="G1194" t="s">
        <v>17</v>
      </c>
      <c r="H1194" t="s">
        <v>132</v>
      </c>
      <c r="I1194" t="s">
        <v>133</v>
      </c>
      <c r="J1194" t="s">
        <v>639</v>
      </c>
      <c r="K1194" s="9">
        <v>43598</v>
      </c>
      <c r="L1194" s="10">
        <v>0.37152777777777773</v>
      </c>
      <c r="M1194" t="s">
        <v>2062</v>
      </c>
      <c r="N1194" t="s">
        <v>2063</v>
      </c>
      <c r="O1194" t="s">
        <v>22</v>
      </c>
    </row>
    <row r="1195" spans="1:15" hidden="1">
      <c r="A1195" t="s">
        <v>15</v>
      </c>
      <c r="B1195" t="str">
        <f>"FES1162689073"</f>
        <v>FES1162689073</v>
      </c>
      <c r="C1195" s="9">
        <v>43595</v>
      </c>
      <c r="D1195">
        <v>1</v>
      </c>
      <c r="E1195">
        <v>217067663</v>
      </c>
      <c r="F1195" t="s">
        <v>16</v>
      </c>
      <c r="G1195" t="s">
        <v>17</v>
      </c>
      <c r="H1195" t="s">
        <v>141</v>
      </c>
      <c r="I1195" t="s">
        <v>448</v>
      </c>
      <c r="J1195" t="s">
        <v>2064</v>
      </c>
      <c r="K1195" s="9">
        <v>43598</v>
      </c>
      <c r="L1195" s="10">
        <v>0.36388888888888887</v>
      </c>
      <c r="M1195" t="s">
        <v>2065</v>
      </c>
      <c r="N1195" t="s">
        <v>2066</v>
      </c>
      <c r="O1195" t="s">
        <v>22</v>
      </c>
    </row>
    <row r="1196" spans="1:15" hidden="1">
      <c r="A1196" t="s">
        <v>15</v>
      </c>
      <c r="B1196" t="str">
        <f>"FES1162688725"</f>
        <v>FES1162688725</v>
      </c>
      <c r="C1196" s="9">
        <v>43595</v>
      </c>
      <c r="D1196">
        <v>1</v>
      </c>
      <c r="E1196">
        <v>2170685916</v>
      </c>
      <c r="F1196" t="s">
        <v>16</v>
      </c>
      <c r="G1196" t="s">
        <v>17</v>
      </c>
      <c r="H1196" t="s">
        <v>132</v>
      </c>
      <c r="I1196" t="s">
        <v>133</v>
      </c>
      <c r="J1196" t="s">
        <v>189</v>
      </c>
      <c r="K1196" s="9">
        <v>43598</v>
      </c>
      <c r="L1196" s="10">
        <v>0.41666666666666669</v>
      </c>
      <c r="M1196" t="s">
        <v>259</v>
      </c>
      <c r="N1196" t="s">
        <v>2067</v>
      </c>
      <c r="O1196" t="s">
        <v>22</v>
      </c>
    </row>
    <row r="1197" spans="1:15" hidden="1">
      <c r="A1197" t="s">
        <v>15</v>
      </c>
      <c r="B1197" t="str">
        <f>"FES1162688986"</f>
        <v>FES1162688986</v>
      </c>
      <c r="C1197" s="9">
        <v>43595</v>
      </c>
      <c r="D1197">
        <v>1</v>
      </c>
      <c r="E1197">
        <v>2170687355</v>
      </c>
      <c r="F1197" t="s">
        <v>16</v>
      </c>
      <c r="G1197" t="s">
        <v>17</v>
      </c>
      <c r="H1197" t="s">
        <v>43</v>
      </c>
      <c r="I1197" t="s">
        <v>44</v>
      </c>
      <c r="J1197" t="s">
        <v>336</v>
      </c>
      <c r="K1197" s="9">
        <v>43598</v>
      </c>
      <c r="L1197" s="10">
        <v>0.38263888888888892</v>
      </c>
      <c r="M1197" t="s">
        <v>1502</v>
      </c>
      <c r="N1197" t="s">
        <v>2068</v>
      </c>
      <c r="O1197" t="s">
        <v>22</v>
      </c>
    </row>
    <row r="1198" spans="1:15">
      <c r="A1198" s="14" t="s">
        <v>15</v>
      </c>
      <c r="B1198" s="14" t="str">
        <f>"FES1162689128"</f>
        <v>FES1162689128</v>
      </c>
      <c r="C1198" s="15">
        <v>43595</v>
      </c>
      <c r="D1198" s="14">
        <v>1</v>
      </c>
      <c r="E1198" s="14">
        <v>2170687707</v>
      </c>
      <c r="F1198" s="14" t="s">
        <v>16</v>
      </c>
      <c r="G1198" s="14" t="s">
        <v>17</v>
      </c>
      <c r="H1198" s="14" t="s">
        <v>17</v>
      </c>
      <c r="I1198" s="14" t="s">
        <v>18</v>
      </c>
      <c r="J1198" s="14" t="s">
        <v>19</v>
      </c>
      <c r="K1198" s="15">
        <v>43598</v>
      </c>
      <c r="L1198" s="16">
        <v>0.42499999999999999</v>
      </c>
      <c r="M1198" s="14" t="s">
        <v>2039</v>
      </c>
      <c r="N1198" s="14" t="s">
        <v>21</v>
      </c>
      <c r="O1198" s="14" t="s">
        <v>22</v>
      </c>
    </row>
    <row r="1199" spans="1:15">
      <c r="A1199" s="17" t="s">
        <v>15</v>
      </c>
      <c r="B1199" s="17" t="str">
        <f>"FES1162689126"</f>
        <v>FES1162689126</v>
      </c>
      <c r="C1199" s="18">
        <v>43595</v>
      </c>
      <c r="D1199" s="17">
        <v>1</v>
      </c>
      <c r="E1199" s="17">
        <v>21706877113</v>
      </c>
      <c r="F1199" s="17" t="s">
        <v>16</v>
      </c>
      <c r="G1199" s="17" t="s">
        <v>17</v>
      </c>
      <c r="H1199" s="17" t="s">
        <v>17</v>
      </c>
      <c r="I1199" s="17" t="s">
        <v>64</v>
      </c>
      <c r="J1199" s="17" t="s">
        <v>878</v>
      </c>
      <c r="K1199" s="18">
        <v>43598</v>
      </c>
      <c r="L1199" s="19">
        <v>0.42499999999999999</v>
      </c>
      <c r="M1199" s="17" t="s">
        <v>2069</v>
      </c>
      <c r="N1199" s="17" t="s">
        <v>21</v>
      </c>
      <c r="O1199" s="17" t="s">
        <v>22</v>
      </c>
    </row>
    <row r="1200" spans="1:15" hidden="1">
      <c r="A1200" t="s">
        <v>15</v>
      </c>
      <c r="B1200" t="str">
        <f>"FES1162689145"</f>
        <v>FES1162689145</v>
      </c>
      <c r="C1200" s="9">
        <v>43595</v>
      </c>
      <c r="D1200">
        <v>1</v>
      </c>
      <c r="E1200">
        <v>2170685628</v>
      </c>
      <c r="F1200" t="s">
        <v>16</v>
      </c>
      <c r="G1200" t="s">
        <v>17</v>
      </c>
      <c r="H1200" t="s">
        <v>32</v>
      </c>
      <c r="I1200" t="s">
        <v>33</v>
      </c>
      <c r="J1200" t="s">
        <v>34</v>
      </c>
      <c r="K1200" s="9">
        <v>43598</v>
      </c>
      <c r="L1200" s="10">
        <v>0.33333333333333331</v>
      </c>
      <c r="M1200" t="s">
        <v>35</v>
      </c>
      <c r="N1200" t="s">
        <v>2070</v>
      </c>
      <c r="O1200" t="s">
        <v>22</v>
      </c>
    </row>
    <row r="1201" spans="1:15" hidden="1">
      <c r="A1201" t="s">
        <v>15</v>
      </c>
      <c r="B1201" t="str">
        <f>"FES1162689135"</f>
        <v>FES1162689135</v>
      </c>
      <c r="C1201" s="9">
        <v>43595</v>
      </c>
      <c r="D1201">
        <v>1</v>
      </c>
      <c r="E1201">
        <v>217067346</v>
      </c>
      <c r="F1201" t="s">
        <v>16</v>
      </c>
      <c r="G1201" t="s">
        <v>17</v>
      </c>
      <c r="H1201" t="s">
        <v>32</v>
      </c>
      <c r="I1201" t="s">
        <v>33</v>
      </c>
      <c r="J1201" t="s">
        <v>2071</v>
      </c>
      <c r="K1201" s="9">
        <v>43598</v>
      </c>
      <c r="L1201" s="10">
        <v>0.43055555555555558</v>
      </c>
      <c r="M1201" t="s">
        <v>2072</v>
      </c>
      <c r="N1201" t="s">
        <v>2073</v>
      </c>
      <c r="O1201" t="s">
        <v>22</v>
      </c>
    </row>
    <row r="1202" spans="1:15" hidden="1">
      <c r="A1202" t="s">
        <v>15</v>
      </c>
      <c r="B1202" t="str">
        <f>"FES1162689024"</f>
        <v>FES1162689024</v>
      </c>
      <c r="C1202" s="9">
        <v>43595</v>
      </c>
      <c r="D1202">
        <v>1</v>
      </c>
      <c r="E1202">
        <v>2170685638</v>
      </c>
      <c r="F1202" t="s">
        <v>16</v>
      </c>
      <c r="G1202" t="s">
        <v>17</v>
      </c>
      <c r="H1202" t="s">
        <v>43</v>
      </c>
      <c r="I1202" t="s">
        <v>44</v>
      </c>
      <c r="J1202" t="s">
        <v>207</v>
      </c>
      <c r="K1202" s="9">
        <v>43598</v>
      </c>
      <c r="L1202" s="10">
        <v>0.41666666666666669</v>
      </c>
      <c r="M1202" t="s">
        <v>1789</v>
      </c>
      <c r="N1202" t="s">
        <v>2074</v>
      </c>
      <c r="O1202" t="s">
        <v>22</v>
      </c>
    </row>
    <row r="1203" spans="1:15" hidden="1">
      <c r="A1203" t="s">
        <v>15</v>
      </c>
      <c r="B1203" t="str">
        <f>"FES1162689025"</f>
        <v>FES1162689025</v>
      </c>
      <c r="C1203" s="9">
        <v>43595</v>
      </c>
      <c r="D1203">
        <v>1</v>
      </c>
      <c r="E1203">
        <v>2170685641</v>
      </c>
      <c r="F1203" t="s">
        <v>16</v>
      </c>
      <c r="G1203" t="s">
        <v>17</v>
      </c>
      <c r="H1203" t="s">
        <v>43</v>
      </c>
      <c r="I1203" t="s">
        <v>44</v>
      </c>
      <c r="J1203" t="s">
        <v>207</v>
      </c>
      <c r="K1203" s="9">
        <v>43598</v>
      </c>
      <c r="L1203" s="10">
        <v>0.41666666666666669</v>
      </c>
      <c r="M1203" t="s">
        <v>2075</v>
      </c>
      <c r="N1203" t="s">
        <v>2076</v>
      </c>
      <c r="O1203" t="s">
        <v>22</v>
      </c>
    </row>
    <row r="1204" spans="1:15" hidden="1">
      <c r="A1204" t="s">
        <v>15</v>
      </c>
      <c r="B1204" t="str">
        <f>"FES1162689152"</f>
        <v>FES1162689152</v>
      </c>
      <c r="C1204" s="9">
        <v>43595</v>
      </c>
      <c r="D1204">
        <v>1</v>
      </c>
      <c r="E1204">
        <v>2170686398</v>
      </c>
      <c r="F1204" t="s">
        <v>16</v>
      </c>
      <c r="G1204" t="s">
        <v>17</v>
      </c>
      <c r="H1204" t="s">
        <v>32</v>
      </c>
      <c r="I1204" t="s">
        <v>33</v>
      </c>
      <c r="J1204" t="s">
        <v>377</v>
      </c>
      <c r="K1204" s="9">
        <v>43598</v>
      </c>
      <c r="L1204" s="10">
        <v>0.33333333333333331</v>
      </c>
      <c r="M1204" t="s">
        <v>2077</v>
      </c>
      <c r="N1204" t="s">
        <v>2078</v>
      </c>
      <c r="O1204" t="s">
        <v>22</v>
      </c>
    </row>
    <row r="1205" spans="1:15">
      <c r="A1205" s="17" t="s">
        <v>15</v>
      </c>
      <c r="B1205" s="17" t="str">
        <f>"FES1162689000"</f>
        <v>FES1162689000</v>
      </c>
      <c r="C1205" s="18">
        <v>43595</v>
      </c>
      <c r="D1205" s="17">
        <v>1</v>
      </c>
      <c r="E1205" s="17">
        <v>2170687594</v>
      </c>
      <c r="F1205" s="17" t="s">
        <v>16</v>
      </c>
      <c r="G1205" s="17" t="s">
        <v>17</v>
      </c>
      <c r="H1205" s="17" t="s">
        <v>17</v>
      </c>
      <c r="I1205" s="17" t="s">
        <v>23</v>
      </c>
      <c r="J1205" s="17" t="s">
        <v>70</v>
      </c>
      <c r="K1205" s="18">
        <v>43598</v>
      </c>
      <c r="L1205" s="19">
        <v>0.30416666666666664</v>
      </c>
      <c r="M1205" s="17" t="s">
        <v>2079</v>
      </c>
      <c r="N1205" s="17" t="s">
        <v>21</v>
      </c>
      <c r="O1205" s="17" t="s">
        <v>22</v>
      </c>
    </row>
    <row r="1206" spans="1:15" hidden="1">
      <c r="A1206" t="s">
        <v>15</v>
      </c>
      <c r="B1206" t="str">
        <f>"FES1162689120"</f>
        <v>FES1162689120</v>
      </c>
      <c r="C1206" s="9">
        <v>43595</v>
      </c>
      <c r="D1206">
        <v>1</v>
      </c>
      <c r="E1206">
        <v>2170687702</v>
      </c>
      <c r="F1206" t="s">
        <v>16</v>
      </c>
      <c r="G1206" t="s">
        <v>17</v>
      </c>
      <c r="H1206" t="s">
        <v>290</v>
      </c>
      <c r="I1206" t="s">
        <v>309</v>
      </c>
      <c r="J1206" t="s">
        <v>2080</v>
      </c>
      <c r="K1206" s="9">
        <v>43598</v>
      </c>
      <c r="L1206" s="10">
        <v>0.36805555555555558</v>
      </c>
      <c r="M1206" t="s">
        <v>2081</v>
      </c>
      <c r="N1206" t="s">
        <v>2082</v>
      </c>
      <c r="O1206" t="s">
        <v>22</v>
      </c>
    </row>
    <row r="1207" spans="1:15">
      <c r="A1207" s="17" t="s">
        <v>15</v>
      </c>
      <c r="B1207" s="17" t="str">
        <f>"FES1162689125"</f>
        <v>FES1162689125</v>
      </c>
      <c r="C1207" s="18">
        <v>43595</v>
      </c>
      <c r="D1207" s="17">
        <v>1</v>
      </c>
      <c r="E1207" s="17">
        <v>2170687713</v>
      </c>
      <c r="F1207" s="17" t="s">
        <v>16</v>
      </c>
      <c r="G1207" s="17" t="s">
        <v>17</v>
      </c>
      <c r="H1207" s="17" t="s">
        <v>17</v>
      </c>
      <c r="I1207" s="17" t="s">
        <v>64</v>
      </c>
      <c r="J1207" s="17" t="s">
        <v>878</v>
      </c>
      <c r="K1207" s="18">
        <v>43598</v>
      </c>
      <c r="L1207" s="19">
        <v>0.36805555555555558</v>
      </c>
      <c r="M1207" s="17" t="s">
        <v>2069</v>
      </c>
      <c r="N1207" s="17" t="s">
        <v>21</v>
      </c>
      <c r="O1207" s="17" t="s">
        <v>22</v>
      </c>
    </row>
    <row r="1208" spans="1:15" hidden="1">
      <c r="A1208" t="s">
        <v>15</v>
      </c>
      <c r="B1208" t="str">
        <f>"FES1162689017"</f>
        <v>FES1162689017</v>
      </c>
      <c r="C1208" s="9">
        <v>43595</v>
      </c>
      <c r="D1208">
        <v>1</v>
      </c>
      <c r="E1208">
        <v>2170687613</v>
      </c>
      <c r="F1208" t="s">
        <v>16</v>
      </c>
      <c r="G1208" t="s">
        <v>17</v>
      </c>
      <c r="H1208" t="s">
        <v>1055</v>
      </c>
      <c r="I1208" t="s">
        <v>2050</v>
      </c>
      <c r="J1208" t="s">
        <v>2051</v>
      </c>
      <c r="K1208" s="9">
        <v>43598</v>
      </c>
      <c r="L1208" s="10">
        <v>0.375</v>
      </c>
      <c r="M1208" t="s">
        <v>2052</v>
      </c>
      <c r="N1208" t="s">
        <v>2083</v>
      </c>
      <c r="O1208" t="s">
        <v>22</v>
      </c>
    </row>
    <row r="1209" spans="1:15" hidden="1">
      <c r="A1209" t="s">
        <v>15</v>
      </c>
      <c r="B1209" t="str">
        <f>"FES1162689102"</f>
        <v>FES1162689102</v>
      </c>
      <c r="C1209" s="9">
        <v>43595</v>
      </c>
      <c r="D1209">
        <v>1</v>
      </c>
      <c r="E1209">
        <v>2170685638</v>
      </c>
      <c r="F1209" t="s">
        <v>16</v>
      </c>
      <c r="G1209" t="s">
        <v>17</v>
      </c>
      <c r="H1209" t="s">
        <v>43</v>
      </c>
      <c r="I1209" t="s">
        <v>44</v>
      </c>
      <c r="J1209" t="s">
        <v>207</v>
      </c>
      <c r="K1209" s="9">
        <v>43598</v>
      </c>
      <c r="L1209" s="10">
        <v>0.41666666666666669</v>
      </c>
      <c r="M1209" t="s">
        <v>1789</v>
      </c>
      <c r="N1209" t="s">
        <v>2084</v>
      </c>
      <c r="O1209" t="s">
        <v>22</v>
      </c>
    </row>
    <row r="1210" spans="1:15">
      <c r="A1210" s="6" t="s">
        <v>15</v>
      </c>
      <c r="B1210" s="6" t="str">
        <f>"FES1162689101"</f>
        <v>FES1162689101</v>
      </c>
      <c r="C1210" s="7">
        <v>43595</v>
      </c>
      <c r="D1210" s="6">
        <v>1</v>
      </c>
      <c r="E1210" s="6">
        <v>217687683</v>
      </c>
      <c r="F1210" s="6" t="s">
        <v>16</v>
      </c>
      <c r="G1210" s="6" t="s">
        <v>17</v>
      </c>
      <c r="H1210" s="6" t="s">
        <v>17</v>
      </c>
      <c r="I1210" s="6" t="s">
        <v>23</v>
      </c>
      <c r="J1210" s="6" t="s">
        <v>70</v>
      </c>
      <c r="K1210" s="7">
        <v>43598</v>
      </c>
      <c r="L1210" s="8">
        <v>0.30416666666666664</v>
      </c>
      <c r="M1210" s="6" t="s">
        <v>2079</v>
      </c>
      <c r="N1210" s="6" t="s">
        <v>21</v>
      </c>
      <c r="O1210" s="6" t="s">
        <v>22</v>
      </c>
    </row>
    <row r="1211" spans="1:15">
      <c r="A1211" s="6" t="s">
        <v>15</v>
      </c>
      <c r="B1211" s="6" t="str">
        <f>"FES1162688985"</f>
        <v>FES1162688985</v>
      </c>
      <c r="C1211" s="7">
        <v>43595</v>
      </c>
      <c r="D1211" s="6">
        <v>1</v>
      </c>
      <c r="E1211" s="6">
        <v>2170687189</v>
      </c>
      <c r="F1211" s="6" t="s">
        <v>16</v>
      </c>
      <c r="G1211" s="6" t="s">
        <v>17</v>
      </c>
      <c r="H1211" s="6" t="s">
        <v>17</v>
      </c>
      <c r="I1211" s="6" t="s">
        <v>29</v>
      </c>
      <c r="J1211" s="6" t="s">
        <v>109</v>
      </c>
      <c r="K1211" s="7">
        <v>43598</v>
      </c>
      <c r="L1211" s="8">
        <v>0.33333333333333331</v>
      </c>
      <c r="M1211" s="6" t="s">
        <v>2085</v>
      </c>
      <c r="N1211" s="6" t="s">
        <v>21</v>
      </c>
      <c r="O1211" s="6" t="s">
        <v>22</v>
      </c>
    </row>
    <row r="1212" spans="1:15">
      <c r="A1212" s="6" t="s">
        <v>15</v>
      </c>
      <c r="B1212" s="6" t="str">
        <f>"FES1162689052"</f>
        <v>FES1162689052</v>
      </c>
      <c r="C1212" s="7">
        <v>43595</v>
      </c>
      <c r="D1212" s="6">
        <v>1</v>
      </c>
      <c r="E1212" s="6">
        <v>2170687636</v>
      </c>
      <c r="F1212" s="6" t="s">
        <v>16</v>
      </c>
      <c r="G1212" s="6" t="s">
        <v>17</v>
      </c>
      <c r="H1212" s="6" t="s">
        <v>17</v>
      </c>
      <c r="I1212" s="6" t="s">
        <v>64</v>
      </c>
      <c r="J1212" s="6" t="s">
        <v>116</v>
      </c>
      <c r="K1212" s="7">
        <v>43598</v>
      </c>
      <c r="L1212" s="8">
        <v>0.4375</v>
      </c>
      <c r="M1212" s="6" t="s">
        <v>2086</v>
      </c>
      <c r="N1212" s="6" t="s">
        <v>21</v>
      </c>
      <c r="O1212" s="6" t="s">
        <v>22</v>
      </c>
    </row>
    <row r="1213" spans="1:15" hidden="1">
      <c r="A1213" t="s">
        <v>15</v>
      </c>
      <c r="B1213" t="str">
        <f>"FES1162688837"</f>
        <v>FES1162688837</v>
      </c>
      <c r="C1213" s="9">
        <v>43595</v>
      </c>
      <c r="D1213">
        <v>1</v>
      </c>
      <c r="E1213">
        <v>2170685716</v>
      </c>
      <c r="F1213" t="s">
        <v>16</v>
      </c>
      <c r="G1213" t="s">
        <v>17</v>
      </c>
      <c r="H1213" t="s">
        <v>43</v>
      </c>
      <c r="I1213" t="s">
        <v>44</v>
      </c>
      <c r="J1213" t="s">
        <v>48</v>
      </c>
      <c r="K1213" s="9">
        <v>43598</v>
      </c>
      <c r="L1213" s="10">
        <v>0.33749999999999997</v>
      </c>
      <c r="M1213" t="s">
        <v>2087</v>
      </c>
      <c r="N1213" t="s">
        <v>2088</v>
      </c>
      <c r="O1213" t="s">
        <v>22</v>
      </c>
    </row>
    <row r="1214" spans="1:15">
      <c r="A1214" s="6" t="s">
        <v>15</v>
      </c>
      <c r="B1214" s="6" t="str">
        <f>"FES1162689045"</f>
        <v>FES1162689045</v>
      </c>
      <c r="C1214" s="7">
        <v>43595</v>
      </c>
      <c r="D1214" s="6">
        <v>1</v>
      </c>
      <c r="E1214" s="6">
        <v>2170687534</v>
      </c>
      <c r="F1214" s="6" t="s">
        <v>16</v>
      </c>
      <c r="G1214" s="6" t="s">
        <v>17</v>
      </c>
      <c r="H1214" s="6" t="s">
        <v>17</v>
      </c>
      <c r="I1214" s="6" t="s">
        <v>23</v>
      </c>
      <c r="J1214" s="6" t="s">
        <v>119</v>
      </c>
      <c r="K1214" s="7">
        <v>43598</v>
      </c>
      <c r="L1214" s="8">
        <v>0.3</v>
      </c>
      <c r="M1214" s="6" t="s">
        <v>1882</v>
      </c>
      <c r="N1214" s="6" t="s">
        <v>21</v>
      </c>
      <c r="O1214" s="6" t="s">
        <v>22</v>
      </c>
    </row>
    <row r="1215" spans="1:15">
      <c r="A1215" s="6" t="s">
        <v>15</v>
      </c>
      <c r="B1215" s="6" t="str">
        <f>"FES1162688899"</f>
        <v>FES1162688899</v>
      </c>
      <c r="C1215" s="7">
        <v>43595</v>
      </c>
      <c r="D1215" s="6">
        <v>1</v>
      </c>
      <c r="E1215" s="6">
        <v>21706865324</v>
      </c>
      <c r="F1215" s="6" t="s">
        <v>16</v>
      </c>
      <c r="G1215" s="6" t="s">
        <v>17</v>
      </c>
      <c r="H1215" s="6" t="s">
        <v>17</v>
      </c>
      <c r="I1215" s="6" t="s">
        <v>29</v>
      </c>
      <c r="J1215" s="6" t="s">
        <v>1080</v>
      </c>
      <c r="K1215" s="7">
        <v>43598</v>
      </c>
      <c r="L1215" s="8">
        <v>0.43055555555555558</v>
      </c>
      <c r="M1215" s="6" t="s">
        <v>2089</v>
      </c>
      <c r="N1215" s="6" t="s">
        <v>21</v>
      </c>
      <c r="O1215" s="6" t="s">
        <v>22</v>
      </c>
    </row>
    <row r="1216" spans="1:15">
      <c r="A1216" s="6" t="s">
        <v>15</v>
      </c>
      <c r="B1216" s="6" t="str">
        <f>"FES1162689082"</f>
        <v>FES1162689082</v>
      </c>
      <c r="C1216" s="7">
        <v>43595</v>
      </c>
      <c r="D1216" s="6">
        <v>1</v>
      </c>
      <c r="E1216" s="6">
        <v>2170687672</v>
      </c>
      <c r="F1216" s="6" t="s">
        <v>16</v>
      </c>
      <c r="G1216" s="6" t="s">
        <v>17</v>
      </c>
      <c r="H1216" s="6" t="s">
        <v>17</v>
      </c>
      <c r="I1216" s="6" t="s">
        <v>103</v>
      </c>
      <c r="J1216" s="6" t="s">
        <v>2090</v>
      </c>
      <c r="K1216" s="7">
        <v>43598</v>
      </c>
      <c r="L1216" s="8">
        <v>0.4236111111111111</v>
      </c>
      <c r="M1216" s="6" t="s">
        <v>2091</v>
      </c>
      <c r="N1216" s="6" t="s">
        <v>21</v>
      </c>
      <c r="O1216" s="6" t="s">
        <v>22</v>
      </c>
    </row>
    <row r="1217" spans="1:15">
      <c r="A1217" s="6" t="s">
        <v>15</v>
      </c>
      <c r="B1217" s="6" t="str">
        <f>"FES1162689081"</f>
        <v>FES1162689081</v>
      </c>
      <c r="C1217" s="7">
        <v>43595</v>
      </c>
      <c r="D1217" s="6">
        <v>1</v>
      </c>
      <c r="E1217" s="6">
        <v>2170687671</v>
      </c>
      <c r="F1217" s="6" t="s">
        <v>16</v>
      </c>
      <c r="G1217" s="6" t="s">
        <v>17</v>
      </c>
      <c r="H1217" s="6" t="s">
        <v>17</v>
      </c>
      <c r="I1217" s="6" t="s">
        <v>103</v>
      </c>
      <c r="J1217" s="6" t="s">
        <v>2090</v>
      </c>
      <c r="K1217" s="7">
        <v>43598</v>
      </c>
      <c r="L1217" s="8">
        <v>0.38611111111111113</v>
      </c>
      <c r="M1217" s="6" t="s">
        <v>2091</v>
      </c>
      <c r="N1217" s="6" t="s">
        <v>21</v>
      </c>
      <c r="O1217" s="6" t="s">
        <v>22</v>
      </c>
    </row>
    <row r="1218" spans="1:15" hidden="1">
      <c r="A1218" t="s">
        <v>15</v>
      </c>
      <c r="B1218" t="str">
        <f>"FES1162689030"</f>
        <v>FES1162689030</v>
      </c>
      <c r="C1218" s="9">
        <v>43595</v>
      </c>
      <c r="D1218">
        <v>1</v>
      </c>
      <c r="E1218">
        <v>2170687033</v>
      </c>
      <c r="F1218" t="s">
        <v>16</v>
      </c>
      <c r="G1218" t="s">
        <v>17</v>
      </c>
      <c r="H1218" t="s">
        <v>43</v>
      </c>
      <c r="I1218" t="s">
        <v>44</v>
      </c>
      <c r="J1218" t="s">
        <v>51</v>
      </c>
      <c r="K1218" s="9">
        <v>43598</v>
      </c>
      <c r="L1218" s="10">
        <v>0.34930555555555554</v>
      </c>
      <c r="M1218" t="s">
        <v>1394</v>
      </c>
      <c r="N1218" t="s">
        <v>2092</v>
      </c>
      <c r="O1218" t="s">
        <v>22</v>
      </c>
    </row>
    <row r="1219" spans="1:15" hidden="1">
      <c r="A1219" t="s">
        <v>15</v>
      </c>
      <c r="B1219" t="str">
        <f>"FES1162689123"</f>
        <v>FES1162689123</v>
      </c>
      <c r="C1219" s="9">
        <v>43595</v>
      </c>
      <c r="D1219">
        <v>1</v>
      </c>
      <c r="E1219">
        <v>2170684830</v>
      </c>
      <c r="F1219" t="s">
        <v>16</v>
      </c>
      <c r="G1219" t="s">
        <v>17</v>
      </c>
      <c r="H1219" t="s">
        <v>322</v>
      </c>
      <c r="I1219" t="s">
        <v>618</v>
      </c>
      <c r="J1219" t="s">
        <v>619</v>
      </c>
      <c r="K1219" s="9">
        <v>43598</v>
      </c>
      <c r="L1219" s="10">
        <v>0.37361111111111112</v>
      </c>
      <c r="M1219" t="s">
        <v>620</v>
      </c>
      <c r="N1219" t="s">
        <v>2093</v>
      </c>
      <c r="O1219" t="s">
        <v>22</v>
      </c>
    </row>
    <row r="1220" spans="1:15" hidden="1">
      <c r="A1220" t="s">
        <v>15</v>
      </c>
      <c r="B1220" t="str">
        <f>"FES1162689059"</f>
        <v>FES1162689059</v>
      </c>
      <c r="C1220" s="9">
        <v>43595</v>
      </c>
      <c r="D1220">
        <v>1</v>
      </c>
      <c r="E1220">
        <v>2170687644</v>
      </c>
      <c r="F1220" t="s">
        <v>16</v>
      </c>
      <c r="G1220" t="s">
        <v>17</v>
      </c>
      <c r="H1220" t="s">
        <v>141</v>
      </c>
      <c r="I1220" t="s">
        <v>464</v>
      </c>
      <c r="J1220" t="s">
        <v>2094</v>
      </c>
      <c r="K1220" s="9">
        <v>43598</v>
      </c>
      <c r="L1220" s="10">
        <v>0.32847222222222222</v>
      </c>
      <c r="M1220" t="s">
        <v>2095</v>
      </c>
      <c r="N1220" t="s">
        <v>2096</v>
      </c>
      <c r="O1220" t="s">
        <v>22</v>
      </c>
    </row>
    <row r="1221" spans="1:15" hidden="1">
      <c r="A1221" t="s">
        <v>15</v>
      </c>
      <c r="B1221" t="str">
        <f>"FES1162689099"</f>
        <v>FES1162689099</v>
      </c>
      <c r="C1221" s="9">
        <v>43595</v>
      </c>
      <c r="D1221">
        <v>1</v>
      </c>
      <c r="E1221">
        <v>2170687679</v>
      </c>
      <c r="F1221" t="s">
        <v>16</v>
      </c>
      <c r="G1221" t="s">
        <v>17</v>
      </c>
      <c r="H1221" t="s">
        <v>141</v>
      </c>
      <c r="I1221" t="s">
        <v>142</v>
      </c>
      <c r="J1221" t="s">
        <v>213</v>
      </c>
      <c r="K1221" s="9">
        <v>43598</v>
      </c>
      <c r="L1221" s="10">
        <v>0.35625000000000001</v>
      </c>
      <c r="M1221" t="s">
        <v>214</v>
      </c>
      <c r="N1221" t="s">
        <v>2097</v>
      </c>
      <c r="O1221" t="s">
        <v>22</v>
      </c>
    </row>
    <row r="1222" spans="1:15" hidden="1">
      <c r="A1222" t="s">
        <v>15</v>
      </c>
      <c r="B1222" t="str">
        <f>"FES1162689063"</f>
        <v>FES1162689063</v>
      </c>
      <c r="C1222" s="9">
        <v>43595</v>
      </c>
      <c r="D1222">
        <v>1</v>
      </c>
      <c r="E1222">
        <v>2170687647</v>
      </c>
      <c r="F1222" t="s">
        <v>16</v>
      </c>
      <c r="G1222" t="s">
        <v>17</v>
      </c>
      <c r="H1222" t="s">
        <v>132</v>
      </c>
      <c r="I1222" t="s">
        <v>133</v>
      </c>
      <c r="J1222" t="s">
        <v>238</v>
      </c>
      <c r="K1222" s="9">
        <v>43598</v>
      </c>
      <c r="L1222" s="10">
        <v>0.33333333333333331</v>
      </c>
      <c r="M1222" t="s">
        <v>2098</v>
      </c>
      <c r="N1222" t="s">
        <v>2099</v>
      </c>
      <c r="O1222" t="s">
        <v>22</v>
      </c>
    </row>
    <row r="1223" spans="1:15" hidden="1">
      <c r="A1223" t="s">
        <v>15</v>
      </c>
      <c r="B1223" t="str">
        <f>"FES1162689044"</f>
        <v>FES1162689044</v>
      </c>
      <c r="C1223" s="9">
        <v>43595</v>
      </c>
      <c r="D1223">
        <v>1</v>
      </c>
      <c r="E1223">
        <v>2170687522</v>
      </c>
      <c r="F1223" t="s">
        <v>16</v>
      </c>
      <c r="G1223" t="s">
        <v>17</v>
      </c>
      <c r="H1223" t="s">
        <v>37</v>
      </c>
      <c r="I1223" t="s">
        <v>38</v>
      </c>
      <c r="J1223" t="s">
        <v>182</v>
      </c>
      <c r="K1223" s="9">
        <v>43598</v>
      </c>
      <c r="L1223" s="10">
        <v>0.4368055555555555</v>
      </c>
      <c r="M1223" t="s">
        <v>2100</v>
      </c>
      <c r="N1223" t="s">
        <v>2101</v>
      </c>
      <c r="O1223" t="s">
        <v>22</v>
      </c>
    </row>
    <row r="1224" spans="1:15" hidden="1">
      <c r="A1224" t="s">
        <v>15</v>
      </c>
      <c r="B1224" t="str">
        <f>"FES1162688750"</f>
        <v>FES1162688750</v>
      </c>
      <c r="C1224" s="9">
        <v>43595</v>
      </c>
      <c r="D1224">
        <v>3</v>
      </c>
      <c r="E1224">
        <v>2170687438</v>
      </c>
      <c r="F1224" t="s">
        <v>16</v>
      </c>
      <c r="G1224" t="s">
        <v>17</v>
      </c>
      <c r="H1224" t="s">
        <v>290</v>
      </c>
      <c r="I1224" t="s">
        <v>309</v>
      </c>
      <c r="J1224" t="s">
        <v>1662</v>
      </c>
      <c r="K1224" s="9">
        <v>43599</v>
      </c>
      <c r="L1224" s="10">
        <v>0.5083333333333333</v>
      </c>
      <c r="M1224" t="s">
        <v>2102</v>
      </c>
      <c r="N1224" t="s">
        <v>2103</v>
      </c>
      <c r="O1224" t="s">
        <v>22</v>
      </c>
    </row>
    <row r="1225" spans="1:15" hidden="1">
      <c r="A1225" t="s">
        <v>15</v>
      </c>
      <c r="B1225" t="str">
        <f>"FES1162689090"</f>
        <v>FES1162689090</v>
      </c>
      <c r="C1225" s="9">
        <v>43595</v>
      </c>
      <c r="D1225">
        <v>1</v>
      </c>
      <c r="E1225">
        <v>2170687677</v>
      </c>
      <c r="F1225" t="s">
        <v>16</v>
      </c>
      <c r="G1225" t="s">
        <v>17</v>
      </c>
      <c r="H1225" t="s">
        <v>141</v>
      </c>
      <c r="I1225" t="s">
        <v>142</v>
      </c>
      <c r="J1225" t="s">
        <v>213</v>
      </c>
      <c r="K1225" s="9">
        <v>43598</v>
      </c>
      <c r="L1225" s="10">
        <v>0.35625000000000001</v>
      </c>
      <c r="M1225" t="s">
        <v>214</v>
      </c>
      <c r="N1225" t="s">
        <v>2104</v>
      </c>
      <c r="O1225" t="s">
        <v>22</v>
      </c>
    </row>
    <row r="1226" spans="1:15" hidden="1">
      <c r="A1226" t="s">
        <v>15</v>
      </c>
      <c r="B1226" t="str">
        <f>"FES1162689054"</f>
        <v>FES1162689054</v>
      </c>
      <c r="C1226" s="9">
        <v>43595</v>
      </c>
      <c r="D1226">
        <v>1</v>
      </c>
      <c r="E1226">
        <v>2170687683</v>
      </c>
      <c r="F1226" t="s">
        <v>16</v>
      </c>
      <c r="G1226" t="s">
        <v>17</v>
      </c>
      <c r="H1226" t="s">
        <v>132</v>
      </c>
      <c r="I1226" t="s">
        <v>133</v>
      </c>
      <c r="J1226" t="s">
        <v>238</v>
      </c>
      <c r="K1226" s="9">
        <v>43598</v>
      </c>
      <c r="L1226" s="10">
        <v>0.33333333333333331</v>
      </c>
      <c r="M1226" t="s">
        <v>2098</v>
      </c>
      <c r="N1226" t="s">
        <v>2105</v>
      </c>
      <c r="O1226" t="s">
        <v>22</v>
      </c>
    </row>
    <row r="1227" spans="1:15" hidden="1">
      <c r="A1227" t="s">
        <v>15</v>
      </c>
      <c r="B1227" t="str">
        <f>"FES1162689058"</f>
        <v>FES1162689058</v>
      </c>
      <c r="C1227" s="9">
        <v>43595</v>
      </c>
      <c r="D1227">
        <v>1</v>
      </c>
      <c r="E1227">
        <v>2170687643</v>
      </c>
      <c r="F1227" t="s">
        <v>16</v>
      </c>
      <c r="G1227" t="s">
        <v>17</v>
      </c>
      <c r="H1227" t="s">
        <v>141</v>
      </c>
      <c r="I1227" t="s">
        <v>142</v>
      </c>
      <c r="J1227" t="s">
        <v>213</v>
      </c>
      <c r="K1227" s="9">
        <v>43598</v>
      </c>
      <c r="L1227" s="10">
        <v>0.35625000000000001</v>
      </c>
      <c r="M1227" t="s">
        <v>214</v>
      </c>
      <c r="N1227" t="s">
        <v>2106</v>
      </c>
      <c r="O1227" t="s">
        <v>22</v>
      </c>
    </row>
    <row r="1228" spans="1:15" hidden="1">
      <c r="A1228" t="s">
        <v>15</v>
      </c>
      <c r="B1228" t="str">
        <f>"009935791943"</f>
        <v>009935791943</v>
      </c>
      <c r="C1228" s="9">
        <v>43595</v>
      </c>
      <c r="D1228">
        <v>1</v>
      </c>
      <c r="E1228" t="s">
        <v>2107</v>
      </c>
      <c r="F1228" t="s">
        <v>16</v>
      </c>
      <c r="G1228" t="s">
        <v>17</v>
      </c>
      <c r="H1228" t="s">
        <v>32</v>
      </c>
      <c r="I1228" t="s">
        <v>33</v>
      </c>
      <c r="J1228" t="s">
        <v>2108</v>
      </c>
      <c r="K1228" s="9">
        <v>43598</v>
      </c>
      <c r="L1228" s="10">
        <v>0.3611111111111111</v>
      </c>
      <c r="M1228" t="s">
        <v>88</v>
      </c>
      <c r="N1228" t="s">
        <v>2109</v>
      </c>
      <c r="O1228" t="s">
        <v>22</v>
      </c>
    </row>
    <row r="1229" spans="1:15" hidden="1">
      <c r="A1229" t="s">
        <v>15</v>
      </c>
      <c r="B1229" t="str">
        <f>"FES1162689046"</f>
        <v>FES1162689046</v>
      </c>
      <c r="C1229" s="9">
        <v>43595</v>
      </c>
      <c r="D1229">
        <v>1</v>
      </c>
      <c r="E1229">
        <v>2170687623</v>
      </c>
      <c r="F1229" t="s">
        <v>16</v>
      </c>
      <c r="G1229" t="s">
        <v>17</v>
      </c>
      <c r="H1229" t="s">
        <v>141</v>
      </c>
      <c r="I1229" t="s">
        <v>142</v>
      </c>
      <c r="J1229" t="s">
        <v>228</v>
      </c>
      <c r="K1229" s="9">
        <v>43598</v>
      </c>
      <c r="L1229" s="10">
        <v>0.39583333333333331</v>
      </c>
      <c r="M1229" t="s">
        <v>1371</v>
      </c>
      <c r="N1229" t="s">
        <v>2110</v>
      </c>
      <c r="O1229" t="s">
        <v>22</v>
      </c>
    </row>
    <row r="1230" spans="1:15" hidden="1">
      <c r="A1230" t="s">
        <v>15</v>
      </c>
      <c r="B1230" t="str">
        <f>"FES1162688643"</f>
        <v>FES1162688643</v>
      </c>
      <c r="C1230" s="9">
        <v>43595</v>
      </c>
      <c r="D1230">
        <v>1</v>
      </c>
      <c r="E1230">
        <v>2170687418</v>
      </c>
      <c r="F1230" t="s">
        <v>16</v>
      </c>
      <c r="G1230" t="s">
        <v>17</v>
      </c>
      <c r="H1230" t="s">
        <v>290</v>
      </c>
      <c r="I1230" t="s">
        <v>291</v>
      </c>
      <c r="J1230" t="s">
        <v>1535</v>
      </c>
      <c r="K1230" s="9">
        <v>43598</v>
      </c>
      <c r="L1230" s="10">
        <v>0.2951388888888889</v>
      </c>
      <c r="M1230" t="s">
        <v>2111</v>
      </c>
      <c r="N1230" t="s">
        <v>2112</v>
      </c>
      <c r="O1230" t="s">
        <v>22</v>
      </c>
    </row>
    <row r="1231" spans="1:15" hidden="1">
      <c r="A1231" t="s">
        <v>15</v>
      </c>
      <c r="B1231" t="str">
        <f>"FES1162688759"</f>
        <v>FES1162688759</v>
      </c>
      <c r="C1231" s="9">
        <v>43595</v>
      </c>
      <c r="D1231">
        <v>1</v>
      </c>
      <c r="E1231">
        <v>2170687479</v>
      </c>
      <c r="F1231" t="s">
        <v>1433</v>
      </c>
      <c r="G1231" t="s">
        <v>17</v>
      </c>
      <c r="H1231" t="s">
        <v>290</v>
      </c>
      <c r="I1231" t="s">
        <v>291</v>
      </c>
      <c r="J1231" t="s">
        <v>609</v>
      </c>
      <c r="K1231" s="9">
        <v>43598</v>
      </c>
      <c r="L1231" s="10">
        <v>0.38194444444444442</v>
      </c>
      <c r="M1231" t="s">
        <v>56</v>
      </c>
      <c r="N1231" t="s">
        <v>2113</v>
      </c>
      <c r="O1231" t="s">
        <v>494</v>
      </c>
    </row>
    <row r="1232" spans="1:15">
      <c r="A1232" s="6" t="s">
        <v>15</v>
      </c>
      <c r="B1232" s="6" t="str">
        <f>"FES1162689150"</f>
        <v>FES1162689150</v>
      </c>
      <c r="C1232" s="7">
        <v>43595</v>
      </c>
      <c r="D1232" s="6">
        <v>1</v>
      </c>
      <c r="E1232" s="6">
        <v>2170686336</v>
      </c>
      <c r="F1232" s="6" t="s">
        <v>16</v>
      </c>
      <c r="G1232" s="6" t="s">
        <v>17</v>
      </c>
      <c r="H1232" s="6" t="s">
        <v>17</v>
      </c>
      <c r="I1232" s="6" t="s">
        <v>935</v>
      </c>
      <c r="J1232" s="6" t="s">
        <v>936</v>
      </c>
      <c r="K1232" s="7">
        <v>43598</v>
      </c>
      <c r="L1232" s="8">
        <v>0.33333333333333331</v>
      </c>
      <c r="M1232" s="6" t="s">
        <v>56</v>
      </c>
      <c r="N1232" s="6" t="s">
        <v>21</v>
      </c>
      <c r="O1232" s="6" t="s">
        <v>22</v>
      </c>
    </row>
    <row r="1233" spans="1:15">
      <c r="A1233" s="6" t="s">
        <v>15</v>
      </c>
      <c r="B1233" s="6" t="str">
        <f>"FES1162689160"</f>
        <v>FES1162689160</v>
      </c>
      <c r="C1233" s="7">
        <v>43595</v>
      </c>
      <c r="D1233" s="6">
        <v>1</v>
      </c>
      <c r="E1233" s="6">
        <v>21706787715</v>
      </c>
      <c r="F1233" s="6" t="s">
        <v>16</v>
      </c>
      <c r="G1233" s="6" t="s">
        <v>17</v>
      </c>
      <c r="H1233" s="6" t="s">
        <v>17</v>
      </c>
      <c r="I1233" s="6" t="s">
        <v>18</v>
      </c>
      <c r="J1233" s="6" t="s">
        <v>2114</v>
      </c>
      <c r="K1233" s="7">
        <v>43598</v>
      </c>
      <c r="L1233" s="8">
        <v>0.33958333333333335</v>
      </c>
      <c r="M1233" s="6" t="s">
        <v>2115</v>
      </c>
      <c r="N1233" s="6" t="s">
        <v>21</v>
      </c>
      <c r="O1233" s="6" t="s">
        <v>22</v>
      </c>
    </row>
    <row r="1234" spans="1:15">
      <c r="A1234" s="6" t="s">
        <v>15</v>
      </c>
      <c r="B1234" s="6" t="str">
        <f>"FES1162689188"</f>
        <v>FES1162689188</v>
      </c>
      <c r="C1234" s="7">
        <v>43595</v>
      </c>
      <c r="D1234" s="6">
        <v>1</v>
      </c>
      <c r="E1234" s="6">
        <v>2170687752</v>
      </c>
      <c r="F1234" s="6" t="s">
        <v>16</v>
      </c>
      <c r="G1234" s="6" t="s">
        <v>17</v>
      </c>
      <c r="H1234" s="6" t="s">
        <v>17</v>
      </c>
      <c r="I1234" s="6" t="s">
        <v>64</v>
      </c>
      <c r="J1234" s="6" t="s">
        <v>155</v>
      </c>
      <c r="K1234" s="7">
        <v>43598</v>
      </c>
      <c r="L1234" s="8">
        <v>0.375</v>
      </c>
      <c r="M1234" s="6" t="s">
        <v>2116</v>
      </c>
      <c r="N1234" s="6" t="s">
        <v>21</v>
      </c>
      <c r="O1234" s="6" t="s">
        <v>22</v>
      </c>
    </row>
    <row r="1235" spans="1:15" hidden="1">
      <c r="A1235" t="s">
        <v>15</v>
      </c>
      <c r="B1235" t="str">
        <f>"FES1162688863"</f>
        <v>FES1162688863</v>
      </c>
      <c r="C1235" s="9">
        <v>43595</v>
      </c>
      <c r="D1235">
        <v>1</v>
      </c>
      <c r="E1235">
        <v>2170685908</v>
      </c>
      <c r="F1235" t="s">
        <v>16</v>
      </c>
      <c r="G1235" t="s">
        <v>17</v>
      </c>
      <c r="H1235" t="s">
        <v>32</v>
      </c>
      <c r="I1235" t="s">
        <v>33</v>
      </c>
      <c r="J1235" t="s">
        <v>34</v>
      </c>
      <c r="K1235" s="9">
        <v>43598</v>
      </c>
      <c r="L1235" s="10">
        <v>0.34722222222222227</v>
      </c>
      <c r="M1235" t="s">
        <v>35</v>
      </c>
      <c r="N1235" t="s">
        <v>2117</v>
      </c>
      <c r="O1235" t="s">
        <v>22</v>
      </c>
    </row>
    <row r="1236" spans="1:15">
      <c r="A1236" s="6" t="s">
        <v>15</v>
      </c>
      <c r="B1236" s="6" t="str">
        <f>"FES1162689096"</f>
        <v>FES1162689096</v>
      </c>
      <c r="C1236" s="7">
        <v>43595</v>
      </c>
      <c r="D1236" s="6">
        <v>1</v>
      </c>
      <c r="E1236" s="6">
        <v>2170685419</v>
      </c>
      <c r="F1236" s="6" t="s">
        <v>16</v>
      </c>
      <c r="G1236" s="6" t="s">
        <v>17</v>
      </c>
      <c r="H1236" s="6" t="s">
        <v>17</v>
      </c>
      <c r="I1236" s="6" t="s">
        <v>421</v>
      </c>
      <c r="J1236" s="6" t="s">
        <v>1535</v>
      </c>
      <c r="K1236" s="7">
        <v>43598</v>
      </c>
      <c r="L1236" s="8">
        <v>0.44305555555555554</v>
      </c>
      <c r="M1236" s="6" t="s">
        <v>2118</v>
      </c>
      <c r="N1236" s="6" t="s">
        <v>21</v>
      </c>
      <c r="O1236" s="6" t="s">
        <v>22</v>
      </c>
    </row>
    <row r="1237" spans="1:15" hidden="1">
      <c r="A1237" t="s">
        <v>15</v>
      </c>
      <c r="B1237" t="str">
        <f>"FES1162688552"</f>
        <v>FES1162688552</v>
      </c>
      <c r="C1237" s="9">
        <v>43595</v>
      </c>
      <c r="D1237">
        <v>1</v>
      </c>
      <c r="E1237">
        <v>2170687294</v>
      </c>
      <c r="F1237" t="s">
        <v>16</v>
      </c>
      <c r="G1237" t="s">
        <v>17</v>
      </c>
      <c r="H1237" t="s">
        <v>290</v>
      </c>
      <c r="I1237" t="s">
        <v>291</v>
      </c>
      <c r="J1237" t="s">
        <v>1187</v>
      </c>
      <c r="K1237" s="9">
        <v>43598</v>
      </c>
      <c r="L1237" s="10">
        <v>0.41666666666666669</v>
      </c>
      <c r="M1237" t="s">
        <v>2119</v>
      </c>
      <c r="N1237" t="s">
        <v>2120</v>
      </c>
      <c r="O1237" t="s">
        <v>22</v>
      </c>
    </row>
    <row r="1238" spans="1:15">
      <c r="A1238" s="6" t="s">
        <v>15</v>
      </c>
      <c r="B1238" s="6" t="str">
        <f>"FES1162689091"</f>
        <v>FES1162689091</v>
      </c>
      <c r="C1238" s="7">
        <v>43595</v>
      </c>
      <c r="D1238" s="6">
        <v>1</v>
      </c>
      <c r="E1238" s="6">
        <v>2170687678</v>
      </c>
      <c r="F1238" s="6" t="s">
        <v>16</v>
      </c>
      <c r="G1238" s="6" t="s">
        <v>17</v>
      </c>
      <c r="H1238" s="6" t="s">
        <v>17</v>
      </c>
      <c r="I1238" s="6" t="s">
        <v>23</v>
      </c>
      <c r="J1238" s="6" t="s">
        <v>70</v>
      </c>
      <c r="K1238" s="7">
        <v>43598</v>
      </c>
      <c r="L1238" s="8">
        <v>0.30416666666666664</v>
      </c>
      <c r="M1238" s="6" t="s">
        <v>2079</v>
      </c>
      <c r="N1238" s="6" t="s">
        <v>21</v>
      </c>
      <c r="O1238" s="6" t="s">
        <v>22</v>
      </c>
    </row>
    <row r="1239" spans="1:15" hidden="1">
      <c r="A1239" t="s">
        <v>15</v>
      </c>
      <c r="B1239" t="str">
        <f>"FES1162688691"</f>
        <v>FES1162688691</v>
      </c>
      <c r="C1239" s="9">
        <v>43595</v>
      </c>
      <c r="D1239">
        <v>2</v>
      </c>
      <c r="E1239">
        <v>2170682908</v>
      </c>
      <c r="F1239" t="s">
        <v>16</v>
      </c>
      <c r="G1239" t="s">
        <v>17</v>
      </c>
      <c r="H1239" t="s">
        <v>32</v>
      </c>
      <c r="I1239" t="s">
        <v>33</v>
      </c>
      <c r="J1239" t="s">
        <v>1438</v>
      </c>
      <c r="K1239" s="9">
        <v>43598</v>
      </c>
      <c r="L1239" s="10">
        <v>0.37152777777777773</v>
      </c>
      <c r="M1239" t="s">
        <v>1439</v>
      </c>
      <c r="N1239" t="s">
        <v>2121</v>
      </c>
      <c r="O1239" t="s">
        <v>22</v>
      </c>
    </row>
    <row r="1240" spans="1:15">
      <c r="A1240" s="6" t="s">
        <v>15</v>
      </c>
      <c r="B1240" s="6" t="str">
        <f>"FES1162689095"</f>
        <v>FES1162689095</v>
      </c>
      <c r="C1240" s="7">
        <v>43595</v>
      </c>
      <c r="D1240" s="6">
        <v>1</v>
      </c>
      <c r="E1240" s="6">
        <v>2170683825</v>
      </c>
      <c r="F1240" s="6" t="s">
        <v>16</v>
      </c>
      <c r="G1240" s="6" t="s">
        <v>17</v>
      </c>
      <c r="H1240" s="6" t="s">
        <v>17</v>
      </c>
      <c r="I1240" s="6" t="s">
        <v>64</v>
      </c>
      <c r="J1240" s="6" t="s">
        <v>116</v>
      </c>
      <c r="K1240" s="7">
        <v>43598</v>
      </c>
      <c r="L1240" s="8">
        <v>0.4375</v>
      </c>
      <c r="M1240" s="6" t="s">
        <v>2122</v>
      </c>
      <c r="N1240" s="6" t="s">
        <v>21</v>
      </c>
      <c r="O1240" s="6" t="s">
        <v>22</v>
      </c>
    </row>
    <row r="1241" spans="1:15" hidden="1">
      <c r="A1241" t="s">
        <v>15</v>
      </c>
      <c r="B1241" t="str">
        <f>"FES1162689197"</f>
        <v>FES1162689197</v>
      </c>
      <c r="C1241" s="9">
        <v>43595</v>
      </c>
      <c r="D1241">
        <v>1</v>
      </c>
      <c r="E1241">
        <v>2170684909</v>
      </c>
      <c r="F1241" t="s">
        <v>16</v>
      </c>
      <c r="G1241" t="s">
        <v>17</v>
      </c>
      <c r="H1241" t="s">
        <v>290</v>
      </c>
      <c r="I1241" t="s">
        <v>601</v>
      </c>
      <c r="J1241" t="s">
        <v>602</v>
      </c>
      <c r="K1241" s="9">
        <v>43598</v>
      </c>
      <c r="L1241" s="10">
        <v>0.60069444444444442</v>
      </c>
      <c r="M1241" t="s">
        <v>1830</v>
      </c>
      <c r="N1241" t="s">
        <v>2123</v>
      </c>
      <c r="O1241" t="s">
        <v>22</v>
      </c>
    </row>
    <row r="1242" spans="1:15">
      <c r="A1242" s="6" t="s">
        <v>15</v>
      </c>
      <c r="B1242" s="6" t="str">
        <f>"FES1162689175"</f>
        <v>FES1162689175</v>
      </c>
      <c r="C1242" s="7">
        <v>43595</v>
      </c>
      <c r="D1242" s="6">
        <v>1</v>
      </c>
      <c r="E1242" s="6">
        <v>2170687738</v>
      </c>
      <c r="F1242" s="6" t="s">
        <v>16</v>
      </c>
      <c r="G1242" s="6" t="s">
        <v>17</v>
      </c>
      <c r="H1242" s="6" t="s">
        <v>17</v>
      </c>
      <c r="I1242" s="6" t="s">
        <v>18</v>
      </c>
      <c r="J1242" s="6" t="s">
        <v>19</v>
      </c>
      <c r="K1242" s="7">
        <v>43598</v>
      </c>
      <c r="L1242" s="8">
        <v>0.4236111111111111</v>
      </c>
      <c r="M1242" s="6" t="s">
        <v>2039</v>
      </c>
      <c r="N1242" s="6" t="s">
        <v>21</v>
      </c>
      <c r="O1242" s="6" t="s">
        <v>22</v>
      </c>
    </row>
    <row r="1243" spans="1:15">
      <c r="A1243" s="6" t="s">
        <v>15</v>
      </c>
      <c r="B1243" s="6" t="str">
        <f>"009935723233"</f>
        <v>009935723233</v>
      </c>
      <c r="C1243" s="7">
        <v>43595</v>
      </c>
      <c r="D1243" s="6">
        <v>2</v>
      </c>
      <c r="E1243" s="6">
        <v>1162681387</v>
      </c>
      <c r="F1243" s="6" t="s">
        <v>16</v>
      </c>
      <c r="G1243" s="6" t="s">
        <v>17</v>
      </c>
      <c r="H1243" s="6" t="s">
        <v>17</v>
      </c>
      <c r="I1243" s="6" t="s">
        <v>84</v>
      </c>
      <c r="J1243" s="6" t="s">
        <v>85</v>
      </c>
      <c r="K1243" s="7">
        <v>43598</v>
      </c>
      <c r="L1243" s="8">
        <v>0.43263888888888885</v>
      </c>
      <c r="M1243" s="6" t="s">
        <v>2124</v>
      </c>
      <c r="N1243" s="6" t="s">
        <v>21</v>
      </c>
      <c r="O1243" s="6" t="s">
        <v>2125</v>
      </c>
    </row>
    <row r="1244" spans="1:15">
      <c r="A1244" s="6" t="s">
        <v>15</v>
      </c>
      <c r="B1244" s="6" t="str">
        <f>"FES1162689185"</f>
        <v>FES1162689185</v>
      </c>
      <c r="C1244" s="7">
        <v>43595</v>
      </c>
      <c r="D1244" s="6">
        <v>1</v>
      </c>
      <c r="E1244" s="6">
        <v>2170687747</v>
      </c>
      <c r="F1244" s="6" t="s">
        <v>16</v>
      </c>
      <c r="G1244" s="6" t="s">
        <v>17</v>
      </c>
      <c r="H1244" s="6" t="s">
        <v>17</v>
      </c>
      <c r="I1244" s="6" t="s">
        <v>64</v>
      </c>
      <c r="J1244" s="6" t="s">
        <v>1434</v>
      </c>
      <c r="K1244" s="7">
        <v>43598</v>
      </c>
      <c r="L1244" s="8">
        <v>0.39513888888888887</v>
      </c>
      <c r="M1244" s="6" t="s">
        <v>826</v>
      </c>
      <c r="N1244" s="6" t="s">
        <v>21</v>
      </c>
      <c r="O1244" s="6" t="s">
        <v>22</v>
      </c>
    </row>
    <row r="1245" spans="1:15" hidden="1">
      <c r="A1245" t="s">
        <v>15</v>
      </c>
      <c r="B1245" t="str">
        <f>"FES1162688989"</f>
        <v>FES1162688989</v>
      </c>
      <c r="C1245" s="9">
        <v>43595</v>
      </c>
      <c r="D1245">
        <v>1</v>
      </c>
      <c r="E1245">
        <v>2170687579</v>
      </c>
      <c r="F1245" t="s">
        <v>16</v>
      </c>
      <c r="G1245" t="s">
        <v>17</v>
      </c>
      <c r="H1245" t="s">
        <v>43</v>
      </c>
      <c r="I1245" t="s">
        <v>44</v>
      </c>
      <c r="J1245" t="s">
        <v>48</v>
      </c>
      <c r="K1245" s="9">
        <v>43598</v>
      </c>
      <c r="L1245" s="10">
        <v>0.33749999999999997</v>
      </c>
      <c r="M1245" t="s">
        <v>2087</v>
      </c>
      <c r="N1245" t="s">
        <v>2126</v>
      </c>
      <c r="O1245" t="s">
        <v>22</v>
      </c>
    </row>
    <row r="1246" spans="1:15" hidden="1">
      <c r="A1246" t="s">
        <v>15</v>
      </c>
      <c r="B1246" t="str">
        <f>"FES1162689200"</f>
        <v>FES1162689200</v>
      </c>
      <c r="C1246" s="9">
        <v>43595</v>
      </c>
      <c r="D1246">
        <v>1</v>
      </c>
      <c r="E1246">
        <v>2170687765</v>
      </c>
      <c r="F1246" t="s">
        <v>58</v>
      </c>
      <c r="G1246" t="s">
        <v>59</v>
      </c>
      <c r="H1246" t="s">
        <v>32</v>
      </c>
      <c r="I1246" t="s">
        <v>33</v>
      </c>
      <c r="J1246" t="s">
        <v>2108</v>
      </c>
      <c r="K1246" s="9">
        <v>43598</v>
      </c>
      <c r="L1246" s="10">
        <v>0.42638888888888887</v>
      </c>
      <c r="M1246" t="s">
        <v>2045</v>
      </c>
      <c r="N1246" t="s">
        <v>2127</v>
      </c>
      <c r="O1246" t="s">
        <v>22</v>
      </c>
    </row>
    <row r="1247" spans="1:15" hidden="1">
      <c r="A1247" t="s">
        <v>15</v>
      </c>
      <c r="B1247" t="str">
        <f>"FES1162688980"</f>
        <v>FES1162688980</v>
      </c>
      <c r="C1247" s="9">
        <v>43595</v>
      </c>
      <c r="D1247">
        <v>1</v>
      </c>
      <c r="E1247">
        <v>2170687568</v>
      </c>
      <c r="F1247" t="s">
        <v>16</v>
      </c>
      <c r="G1247" t="s">
        <v>17</v>
      </c>
      <c r="H1247" t="s">
        <v>43</v>
      </c>
      <c r="I1247" t="s">
        <v>75</v>
      </c>
      <c r="J1247" t="s">
        <v>811</v>
      </c>
      <c r="K1247" s="9">
        <v>43598</v>
      </c>
      <c r="L1247" s="10">
        <v>0.48888888888888887</v>
      </c>
      <c r="M1247" t="s">
        <v>1167</v>
      </c>
      <c r="N1247" t="s">
        <v>2128</v>
      </c>
      <c r="O1247" t="s">
        <v>22</v>
      </c>
    </row>
    <row r="1248" spans="1:15" hidden="1">
      <c r="A1248" t="s">
        <v>15</v>
      </c>
      <c r="B1248" t="str">
        <f>"FES1162688991"</f>
        <v>FES1162688991</v>
      </c>
      <c r="C1248" s="9">
        <v>43595</v>
      </c>
      <c r="D1248">
        <v>1</v>
      </c>
      <c r="E1248">
        <v>2170687582</v>
      </c>
      <c r="F1248" t="s">
        <v>16</v>
      </c>
      <c r="G1248" t="s">
        <v>17</v>
      </c>
      <c r="H1248" t="s">
        <v>43</v>
      </c>
      <c r="I1248" t="s">
        <v>738</v>
      </c>
      <c r="J1248" t="s">
        <v>339</v>
      </c>
      <c r="K1248" s="9">
        <v>43598</v>
      </c>
      <c r="L1248" s="10">
        <v>0.41666666666666669</v>
      </c>
      <c r="M1248" t="s">
        <v>2129</v>
      </c>
      <c r="N1248" t="s">
        <v>2130</v>
      </c>
      <c r="O1248" t="s">
        <v>22</v>
      </c>
    </row>
    <row r="1249" spans="1:15" hidden="1">
      <c r="A1249" t="s">
        <v>15</v>
      </c>
      <c r="B1249" t="str">
        <f>"FES1162688982"</f>
        <v>FES1162688982</v>
      </c>
      <c r="C1249" s="9">
        <v>43595</v>
      </c>
      <c r="D1249">
        <v>1</v>
      </c>
      <c r="E1249">
        <v>2170687572</v>
      </c>
      <c r="F1249" t="s">
        <v>16</v>
      </c>
      <c r="G1249" t="s">
        <v>17</v>
      </c>
      <c r="H1249" t="s">
        <v>43</v>
      </c>
      <c r="I1249" t="s">
        <v>44</v>
      </c>
      <c r="J1249" t="s">
        <v>51</v>
      </c>
      <c r="K1249" s="9">
        <v>43598</v>
      </c>
      <c r="L1249" s="10">
        <v>0.34791666666666665</v>
      </c>
      <c r="M1249" t="s">
        <v>1394</v>
      </c>
      <c r="N1249" t="s">
        <v>2131</v>
      </c>
      <c r="O1249" t="s">
        <v>22</v>
      </c>
    </row>
    <row r="1250" spans="1:15" hidden="1">
      <c r="A1250" t="s">
        <v>15</v>
      </c>
      <c r="B1250" t="str">
        <f>"FES1162689057"</f>
        <v>FES1162689057</v>
      </c>
      <c r="C1250" s="9">
        <v>43595</v>
      </c>
      <c r="D1250">
        <v>1</v>
      </c>
      <c r="E1250">
        <v>2170687641</v>
      </c>
      <c r="F1250" t="s">
        <v>16</v>
      </c>
      <c r="G1250" t="s">
        <v>17</v>
      </c>
      <c r="H1250" t="s">
        <v>425</v>
      </c>
      <c r="I1250" t="s">
        <v>426</v>
      </c>
      <c r="J1250" t="s">
        <v>783</v>
      </c>
      <c r="K1250" s="9">
        <v>43598</v>
      </c>
      <c r="L1250" s="10">
        <v>0.39444444444444443</v>
      </c>
      <c r="M1250" t="s">
        <v>784</v>
      </c>
      <c r="N1250" t="s">
        <v>2132</v>
      </c>
      <c r="O1250" t="s">
        <v>22</v>
      </c>
    </row>
    <row r="1251" spans="1:15" hidden="1">
      <c r="A1251" t="s">
        <v>15</v>
      </c>
      <c r="B1251" t="str">
        <f>"FES1162688795"</f>
        <v>FES1162688795</v>
      </c>
      <c r="C1251" s="9">
        <v>43595</v>
      </c>
      <c r="D1251">
        <v>1</v>
      </c>
      <c r="E1251">
        <v>2170682525</v>
      </c>
      <c r="F1251" t="s">
        <v>16</v>
      </c>
      <c r="G1251" t="s">
        <v>17</v>
      </c>
      <c r="H1251" t="s">
        <v>43</v>
      </c>
      <c r="I1251" t="s">
        <v>44</v>
      </c>
      <c r="J1251" t="s">
        <v>207</v>
      </c>
      <c r="K1251" s="9">
        <v>43598</v>
      </c>
      <c r="L1251" s="10">
        <v>0.41666666666666669</v>
      </c>
      <c r="M1251" t="s">
        <v>1789</v>
      </c>
      <c r="N1251" t="s">
        <v>2133</v>
      </c>
      <c r="O1251" t="s">
        <v>22</v>
      </c>
    </row>
    <row r="1252" spans="1:15" hidden="1">
      <c r="A1252" t="s">
        <v>15</v>
      </c>
      <c r="B1252" t="str">
        <f>"FES1162688470"</f>
        <v>FES1162688470</v>
      </c>
      <c r="C1252" s="9">
        <v>43595</v>
      </c>
      <c r="D1252">
        <v>1</v>
      </c>
      <c r="E1252">
        <v>2170684566</v>
      </c>
      <c r="F1252" t="s">
        <v>16</v>
      </c>
      <c r="G1252" t="s">
        <v>17</v>
      </c>
      <c r="H1252" t="s">
        <v>43</v>
      </c>
      <c r="I1252" t="s">
        <v>44</v>
      </c>
      <c r="J1252" t="s">
        <v>48</v>
      </c>
      <c r="K1252" s="9">
        <v>43598</v>
      </c>
      <c r="L1252" s="10">
        <v>0.33749999999999997</v>
      </c>
      <c r="M1252" t="s">
        <v>2087</v>
      </c>
      <c r="N1252" t="s">
        <v>2134</v>
      </c>
      <c r="O1252" t="s">
        <v>22</v>
      </c>
    </row>
    <row r="1253" spans="1:15" hidden="1">
      <c r="A1253" t="s">
        <v>15</v>
      </c>
      <c r="B1253" t="str">
        <f>"FES1162689012"</f>
        <v>FES1162689012</v>
      </c>
      <c r="C1253" s="9">
        <v>43595</v>
      </c>
      <c r="D1253">
        <v>1</v>
      </c>
      <c r="E1253">
        <v>2170687607</v>
      </c>
      <c r="F1253" t="s">
        <v>16</v>
      </c>
      <c r="G1253" t="s">
        <v>17</v>
      </c>
      <c r="H1253" t="s">
        <v>43</v>
      </c>
      <c r="I1253" t="s">
        <v>44</v>
      </c>
      <c r="J1253" t="s">
        <v>51</v>
      </c>
      <c r="K1253" s="9">
        <v>43598</v>
      </c>
      <c r="L1253" s="10">
        <v>0.34861111111111115</v>
      </c>
      <c r="M1253" t="s">
        <v>1394</v>
      </c>
      <c r="N1253" t="s">
        <v>2135</v>
      </c>
      <c r="O1253" t="s">
        <v>22</v>
      </c>
    </row>
    <row r="1254" spans="1:15" hidden="1">
      <c r="A1254" t="s">
        <v>15</v>
      </c>
      <c r="B1254" t="str">
        <f>"FES1162688802"</f>
        <v>FES1162688802</v>
      </c>
      <c r="C1254" s="9">
        <v>43595</v>
      </c>
      <c r="D1254">
        <v>1</v>
      </c>
      <c r="E1254">
        <v>2170684566</v>
      </c>
      <c r="F1254" t="s">
        <v>16</v>
      </c>
      <c r="G1254" t="s">
        <v>17</v>
      </c>
      <c r="H1254" t="s">
        <v>43</v>
      </c>
      <c r="I1254" t="s">
        <v>44</v>
      </c>
      <c r="J1254" t="s">
        <v>48</v>
      </c>
      <c r="K1254" s="9">
        <v>43598</v>
      </c>
      <c r="L1254" s="10">
        <v>0.33749999999999997</v>
      </c>
      <c r="M1254" t="s">
        <v>2087</v>
      </c>
      <c r="N1254" t="s">
        <v>2136</v>
      </c>
      <c r="O1254" t="s">
        <v>22</v>
      </c>
    </row>
    <row r="1255" spans="1:15">
      <c r="A1255" s="6" t="s">
        <v>15</v>
      </c>
      <c r="B1255" s="6" t="str">
        <f>"FES1162689142"</f>
        <v>FES1162689142</v>
      </c>
      <c r="C1255" s="7">
        <v>43595</v>
      </c>
      <c r="D1255" s="6">
        <v>1</v>
      </c>
      <c r="E1255" s="6">
        <v>2170685285</v>
      </c>
      <c r="F1255" s="6" t="s">
        <v>16</v>
      </c>
      <c r="G1255" s="6" t="s">
        <v>17</v>
      </c>
      <c r="H1255" s="6" t="s">
        <v>17</v>
      </c>
      <c r="I1255" s="6" t="s">
        <v>64</v>
      </c>
      <c r="J1255" s="6" t="s">
        <v>509</v>
      </c>
      <c r="K1255" s="7">
        <v>43598</v>
      </c>
      <c r="L1255" s="8">
        <v>0.34930555555555554</v>
      </c>
      <c r="M1255" s="6" t="s">
        <v>692</v>
      </c>
      <c r="N1255" s="6" t="s">
        <v>21</v>
      </c>
      <c r="O1255" s="6" t="s">
        <v>22</v>
      </c>
    </row>
    <row r="1256" spans="1:15">
      <c r="A1256" s="6" t="s">
        <v>15</v>
      </c>
      <c r="B1256" s="6" t="str">
        <f>"FES1162689209"</f>
        <v>FES1162689209</v>
      </c>
      <c r="C1256" s="7">
        <v>43595</v>
      </c>
      <c r="D1256" s="6">
        <v>1</v>
      </c>
      <c r="E1256" s="6">
        <v>2170682496</v>
      </c>
      <c r="F1256" s="6" t="s">
        <v>16</v>
      </c>
      <c r="G1256" s="6" t="s">
        <v>17</v>
      </c>
      <c r="H1256" s="6" t="s">
        <v>17</v>
      </c>
      <c r="I1256" s="6" t="s">
        <v>701</v>
      </c>
      <c r="J1256" s="6" t="s">
        <v>2137</v>
      </c>
      <c r="K1256" s="7">
        <v>43598</v>
      </c>
      <c r="L1256" s="8">
        <v>0.41180555555555554</v>
      </c>
      <c r="M1256" s="6" t="s">
        <v>2138</v>
      </c>
      <c r="N1256" s="6" t="s">
        <v>21</v>
      </c>
      <c r="O1256" s="6" t="s">
        <v>22</v>
      </c>
    </row>
    <row r="1257" spans="1:15" hidden="1">
      <c r="A1257" t="s">
        <v>15</v>
      </c>
      <c r="B1257" t="str">
        <f>"FES1162689130"</f>
        <v>FES1162689130</v>
      </c>
      <c r="C1257" s="9">
        <v>43595</v>
      </c>
      <c r="D1257">
        <v>1</v>
      </c>
      <c r="E1257">
        <v>2170687709</v>
      </c>
      <c r="F1257" t="s">
        <v>16</v>
      </c>
      <c r="G1257" t="s">
        <v>17</v>
      </c>
      <c r="H1257" t="s">
        <v>1055</v>
      </c>
      <c r="I1257" t="s">
        <v>2003</v>
      </c>
      <c r="J1257" t="s">
        <v>2040</v>
      </c>
      <c r="K1257" s="9">
        <v>43598</v>
      </c>
      <c r="L1257" s="10">
        <v>0.4236111111111111</v>
      </c>
      <c r="M1257" t="s">
        <v>2041</v>
      </c>
      <c r="N1257" t="s">
        <v>2139</v>
      </c>
      <c r="O1257" t="s">
        <v>22</v>
      </c>
    </row>
    <row r="1258" spans="1:15">
      <c r="A1258" s="6" t="s">
        <v>15</v>
      </c>
      <c r="B1258" s="6" t="str">
        <f>"FES1162689114"</f>
        <v>FES1162689114</v>
      </c>
      <c r="C1258" s="7">
        <v>43595</v>
      </c>
      <c r="D1258" s="6">
        <v>1</v>
      </c>
      <c r="E1258" s="6">
        <v>217068693</v>
      </c>
      <c r="F1258" s="6" t="s">
        <v>16</v>
      </c>
      <c r="G1258" s="6" t="s">
        <v>17</v>
      </c>
      <c r="H1258" s="6" t="s">
        <v>17</v>
      </c>
      <c r="I1258" s="6" t="s">
        <v>64</v>
      </c>
      <c r="J1258" s="6" t="s">
        <v>116</v>
      </c>
      <c r="K1258" s="7">
        <v>43598</v>
      </c>
      <c r="L1258" s="8">
        <v>0.4375</v>
      </c>
      <c r="M1258" s="6" t="s">
        <v>2122</v>
      </c>
      <c r="N1258" s="6" t="s">
        <v>21</v>
      </c>
      <c r="O1258" s="6" t="s">
        <v>22</v>
      </c>
    </row>
    <row r="1259" spans="1:15" hidden="1">
      <c r="A1259" t="s">
        <v>15</v>
      </c>
      <c r="B1259" t="str">
        <f>"FES1162689221"</f>
        <v>FES1162689221</v>
      </c>
      <c r="C1259" s="9">
        <v>43595</v>
      </c>
      <c r="D1259">
        <v>1</v>
      </c>
      <c r="E1259">
        <v>2170687786</v>
      </c>
      <c r="F1259" t="s">
        <v>16</v>
      </c>
      <c r="G1259" t="s">
        <v>17</v>
      </c>
      <c r="H1259" t="s">
        <v>43</v>
      </c>
      <c r="I1259" t="s">
        <v>44</v>
      </c>
      <c r="J1259" t="s">
        <v>2140</v>
      </c>
      <c r="K1259" s="9">
        <v>43598</v>
      </c>
      <c r="L1259" s="10">
        <v>0.41666666666666669</v>
      </c>
      <c r="M1259" t="s">
        <v>2141</v>
      </c>
      <c r="N1259" t="s">
        <v>2142</v>
      </c>
      <c r="O1259" t="s">
        <v>22</v>
      </c>
    </row>
    <row r="1260" spans="1:15">
      <c r="A1260" s="6" t="s">
        <v>15</v>
      </c>
      <c r="B1260" s="6" t="str">
        <f>"FES1162689203"</f>
        <v>FES1162689203</v>
      </c>
      <c r="C1260" s="7">
        <v>43595</v>
      </c>
      <c r="D1260" s="6">
        <v>1</v>
      </c>
      <c r="E1260" s="6">
        <v>2170677864</v>
      </c>
      <c r="F1260" s="6" t="s">
        <v>16</v>
      </c>
      <c r="G1260" s="6" t="s">
        <v>17</v>
      </c>
      <c r="H1260" s="6" t="s">
        <v>17</v>
      </c>
      <c r="I1260" s="6" t="s">
        <v>64</v>
      </c>
      <c r="J1260" s="6" t="s">
        <v>509</v>
      </c>
      <c r="K1260" s="7">
        <v>43598</v>
      </c>
      <c r="L1260" s="8">
        <v>0.34861111111111115</v>
      </c>
      <c r="M1260" s="6" t="s">
        <v>692</v>
      </c>
      <c r="N1260" s="6" t="s">
        <v>21</v>
      </c>
      <c r="O1260" s="6" t="s">
        <v>22</v>
      </c>
    </row>
    <row r="1261" spans="1:15">
      <c r="A1261" s="6" t="s">
        <v>15</v>
      </c>
      <c r="B1261" s="6" t="str">
        <f>"FES1162689104"</f>
        <v>FES1162689104</v>
      </c>
      <c r="C1261" s="7">
        <v>43595</v>
      </c>
      <c r="D1261" s="6">
        <v>1</v>
      </c>
      <c r="E1261" s="6">
        <v>2170687685</v>
      </c>
      <c r="F1261" s="6" t="s">
        <v>16</v>
      </c>
      <c r="G1261" s="6" t="s">
        <v>17</v>
      </c>
      <c r="H1261" s="6" t="s">
        <v>17</v>
      </c>
      <c r="I1261" s="6" t="s">
        <v>23</v>
      </c>
      <c r="J1261" s="6" t="s">
        <v>101</v>
      </c>
      <c r="K1261" s="7">
        <v>43598</v>
      </c>
      <c r="L1261" s="8">
        <v>0.37638888888888888</v>
      </c>
      <c r="M1261" s="6" t="s">
        <v>1838</v>
      </c>
      <c r="N1261" s="6" t="s">
        <v>21</v>
      </c>
      <c r="O1261" s="6" t="s">
        <v>22</v>
      </c>
    </row>
    <row r="1262" spans="1:15">
      <c r="A1262" s="6" t="s">
        <v>15</v>
      </c>
      <c r="B1262" s="6" t="str">
        <f>"FES1162689166"</f>
        <v>FES1162689166</v>
      </c>
      <c r="C1262" s="7">
        <v>43595</v>
      </c>
      <c r="D1262" s="6">
        <v>1</v>
      </c>
      <c r="E1262" s="6">
        <v>2170687722</v>
      </c>
      <c r="F1262" s="6" t="s">
        <v>16</v>
      </c>
      <c r="G1262" s="6" t="s">
        <v>17</v>
      </c>
      <c r="H1262" s="6" t="s">
        <v>17</v>
      </c>
      <c r="I1262" s="6" t="s">
        <v>64</v>
      </c>
      <c r="J1262" s="6" t="s">
        <v>116</v>
      </c>
      <c r="K1262" s="7">
        <v>43598</v>
      </c>
      <c r="L1262" s="8">
        <v>0.4375</v>
      </c>
      <c r="M1262" s="6" t="s">
        <v>2122</v>
      </c>
      <c r="N1262" s="6" t="s">
        <v>21</v>
      </c>
      <c r="O1262" s="6" t="s">
        <v>22</v>
      </c>
    </row>
    <row r="1263" spans="1:15" hidden="1">
      <c r="A1263" t="s">
        <v>15</v>
      </c>
      <c r="B1263" t="str">
        <f>"FES1162689108"</f>
        <v>FES1162689108</v>
      </c>
      <c r="C1263" s="9">
        <v>43595</v>
      </c>
      <c r="D1263">
        <v>1</v>
      </c>
      <c r="E1263">
        <v>217067689</v>
      </c>
      <c r="F1263" t="s">
        <v>16</v>
      </c>
      <c r="G1263" t="s">
        <v>17</v>
      </c>
      <c r="H1263" t="s">
        <v>132</v>
      </c>
      <c r="I1263" t="s">
        <v>133</v>
      </c>
      <c r="J1263" t="s">
        <v>195</v>
      </c>
      <c r="K1263" s="9">
        <v>43598</v>
      </c>
      <c r="L1263" s="10">
        <v>0.3979166666666667</v>
      </c>
      <c r="M1263" t="s">
        <v>2143</v>
      </c>
      <c r="N1263" t="s">
        <v>2144</v>
      </c>
      <c r="O1263" t="s">
        <v>22</v>
      </c>
    </row>
    <row r="1264" spans="1:15" hidden="1">
      <c r="A1264" t="s">
        <v>15</v>
      </c>
      <c r="B1264" t="str">
        <f>"FES1162689151"</f>
        <v>FES1162689151</v>
      </c>
      <c r="C1264" s="9">
        <v>43595</v>
      </c>
      <c r="D1264">
        <v>1</v>
      </c>
      <c r="E1264">
        <v>2170686379</v>
      </c>
      <c r="F1264" t="s">
        <v>16</v>
      </c>
      <c r="G1264" t="s">
        <v>17</v>
      </c>
      <c r="H1264" t="s">
        <v>141</v>
      </c>
      <c r="I1264" t="s">
        <v>898</v>
      </c>
      <c r="J1264" t="s">
        <v>899</v>
      </c>
      <c r="K1264" s="9">
        <v>43598</v>
      </c>
      <c r="L1264" s="10">
        <v>0.54166666666666663</v>
      </c>
      <c r="M1264" t="s">
        <v>900</v>
      </c>
      <c r="N1264" t="s">
        <v>2145</v>
      </c>
      <c r="O1264" t="s">
        <v>22</v>
      </c>
    </row>
    <row r="1265" spans="1:15" hidden="1">
      <c r="A1265" t="s">
        <v>15</v>
      </c>
      <c r="B1265" t="str">
        <f>"FES1162688992"</f>
        <v>FES1162688992</v>
      </c>
      <c r="C1265" s="9">
        <v>43595</v>
      </c>
      <c r="D1265">
        <v>1</v>
      </c>
      <c r="E1265">
        <v>2170687584</v>
      </c>
      <c r="F1265" t="s">
        <v>16</v>
      </c>
      <c r="G1265" t="s">
        <v>17</v>
      </c>
      <c r="H1265" t="s">
        <v>132</v>
      </c>
      <c r="I1265" t="s">
        <v>133</v>
      </c>
      <c r="J1265" t="s">
        <v>238</v>
      </c>
      <c r="K1265" s="9">
        <v>43598</v>
      </c>
      <c r="L1265" s="10">
        <v>0.33333333333333331</v>
      </c>
      <c r="M1265" t="s">
        <v>2098</v>
      </c>
      <c r="N1265" t="s">
        <v>2146</v>
      </c>
      <c r="O1265" t="s">
        <v>22</v>
      </c>
    </row>
    <row r="1266" spans="1:15" hidden="1">
      <c r="A1266" t="s">
        <v>15</v>
      </c>
      <c r="B1266" t="str">
        <f>"FES1162689165"</f>
        <v>FES1162689165</v>
      </c>
      <c r="C1266" s="9">
        <v>43595</v>
      </c>
      <c r="D1266">
        <v>1</v>
      </c>
      <c r="E1266">
        <v>2170687721</v>
      </c>
      <c r="F1266" t="s">
        <v>16</v>
      </c>
      <c r="G1266" t="s">
        <v>17</v>
      </c>
      <c r="H1266" t="s">
        <v>141</v>
      </c>
      <c r="I1266" t="s">
        <v>142</v>
      </c>
      <c r="J1266" t="s">
        <v>213</v>
      </c>
      <c r="K1266" s="9">
        <v>43598</v>
      </c>
      <c r="L1266" s="10">
        <v>0.60902777777777783</v>
      </c>
      <c r="M1266" t="s">
        <v>214</v>
      </c>
      <c r="N1266" t="s">
        <v>2147</v>
      </c>
      <c r="O1266" t="s">
        <v>22</v>
      </c>
    </row>
    <row r="1267" spans="1:15">
      <c r="A1267" s="6" t="s">
        <v>15</v>
      </c>
      <c r="B1267" s="6" t="str">
        <f>"FES1162689211"</f>
        <v>FES1162689211</v>
      </c>
      <c r="C1267" s="7">
        <v>43595</v>
      </c>
      <c r="D1267" s="6">
        <v>1</v>
      </c>
      <c r="E1267" s="6">
        <v>2170687696</v>
      </c>
      <c r="F1267" s="6" t="s">
        <v>16</v>
      </c>
      <c r="G1267" s="6" t="s">
        <v>17</v>
      </c>
      <c r="H1267" s="6" t="s">
        <v>17</v>
      </c>
      <c r="I1267" s="6" t="s">
        <v>414</v>
      </c>
      <c r="J1267" s="6" t="s">
        <v>2148</v>
      </c>
      <c r="K1267" s="7">
        <v>43599</v>
      </c>
      <c r="L1267" s="8">
        <v>5.8333333333333327E-2</v>
      </c>
      <c r="M1267" s="6" t="s">
        <v>969</v>
      </c>
      <c r="N1267" s="6" t="s">
        <v>21</v>
      </c>
      <c r="O1267" s="6" t="s">
        <v>22</v>
      </c>
    </row>
    <row r="1268" spans="1:15" hidden="1">
      <c r="A1268" t="s">
        <v>15</v>
      </c>
      <c r="B1268" t="str">
        <f>"FES1162688997"</f>
        <v>FES1162688997</v>
      </c>
      <c r="C1268" s="9">
        <v>43595</v>
      </c>
      <c r="D1268">
        <v>1</v>
      </c>
      <c r="E1268">
        <v>2170687590</v>
      </c>
      <c r="F1268" t="s">
        <v>16</v>
      </c>
      <c r="G1268" t="s">
        <v>17</v>
      </c>
      <c r="H1268" t="s">
        <v>141</v>
      </c>
      <c r="I1268" t="s">
        <v>185</v>
      </c>
      <c r="J1268" t="s">
        <v>1011</v>
      </c>
      <c r="K1268" s="9">
        <v>43598</v>
      </c>
      <c r="L1268" s="10">
        <v>0.3520833333333333</v>
      </c>
      <c r="M1268" t="s">
        <v>1012</v>
      </c>
      <c r="N1268" t="s">
        <v>2149</v>
      </c>
      <c r="O1268" t="s">
        <v>22</v>
      </c>
    </row>
    <row r="1269" spans="1:15" hidden="1">
      <c r="A1269" t="s">
        <v>15</v>
      </c>
      <c r="B1269" t="str">
        <f>"FES1162688999"</f>
        <v>FES1162688999</v>
      </c>
      <c r="C1269" s="9">
        <v>43595</v>
      </c>
      <c r="D1269">
        <v>1</v>
      </c>
      <c r="E1269">
        <v>2170687592</v>
      </c>
      <c r="F1269" t="s">
        <v>16</v>
      </c>
      <c r="G1269" t="s">
        <v>17</v>
      </c>
      <c r="H1269" t="s">
        <v>141</v>
      </c>
      <c r="I1269" t="s">
        <v>185</v>
      </c>
      <c r="J1269" t="s">
        <v>1543</v>
      </c>
      <c r="K1269" s="9">
        <v>43598</v>
      </c>
      <c r="L1269" s="10">
        <v>0.41180555555555554</v>
      </c>
      <c r="M1269" t="s">
        <v>1544</v>
      </c>
      <c r="N1269" t="s">
        <v>2150</v>
      </c>
      <c r="O1269" t="s">
        <v>22</v>
      </c>
    </row>
    <row r="1270" spans="1:15" hidden="1">
      <c r="A1270" t="s">
        <v>15</v>
      </c>
      <c r="B1270" t="str">
        <f>"FES1162689199"</f>
        <v>FES1162689199</v>
      </c>
      <c r="C1270" s="9">
        <v>43595</v>
      </c>
      <c r="D1270">
        <v>1</v>
      </c>
      <c r="E1270">
        <v>2170686392</v>
      </c>
      <c r="F1270" t="s">
        <v>16</v>
      </c>
      <c r="G1270" t="s">
        <v>17</v>
      </c>
      <c r="H1270" t="s">
        <v>141</v>
      </c>
      <c r="I1270" t="s">
        <v>185</v>
      </c>
      <c r="J1270" t="s">
        <v>452</v>
      </c>
      <c r="K1270" s="9">
        <v>43598</v>
      </c>
      <c r="L1270" s="10">
        <v>0.42222222222222222</v>
      </c>
      <c r="M1270" t="s">
        <v>2151</v>
      </c>
      <c r="N1270" t="s">
        <v>2152</v>
      </c>
      <c r="O1270" t="s">
        <v>22</v>
      </c>
    </row>
    <row r="1271" spans="1:15" hidden="1">
      <c r="A1271" t="s">
        <v>15</v>
      </c>
      <c r="B1271" t="str">
        <f>"009935723263"</f>
        <v>009935723263</v>
      </c>
      <c r="C1271" s="9">
        <v>43595</v>
      </c>
      <c r="D1271">
        <v>1</v>
      </c>
      <c r="E1271">
        <v>1162688845</v>
      </c>
      <c r="F1271" t="s">
        <v>16</v>
      </c>
      <c r="G1271" t="s">
        <v>17</v>
      </c>
      <c r="H1271" t="s">
        <v>141</v>
      </c>
      <c r="I1271" t="s">
        <v>142</v>
      </c>
      <c r="J1271" t="s">
        <v>213</v>
      </c>
      <c r="K1271" s="9">
        <v>43598</v>
      </c>
      <c r="L1271" s="10">
        <v>0.35416666666666669</v>
      </c>
      <c r="M1271" t="s">
        <v>2153</v>
      </c>
      <c r="N1271" t="s">
        <v>2154</v>
      </c>
      <c r="O1271" t="s">
        <v>2155</v>
      </c>
    </row>
    <row r="1272" spans="1:15" hidden="1">
      <c r="A1272" t="s">
        <v>15</v>
      </c>
      <c r="B1272" t="str">
        <f>"FES1162689006"</f>
        <v>FES1162689006</v>
      </c>
      <c r="C1272" s="9">
        <v>43595</v>
      </c>
      <c r="D1272">
        <v>1</v>
      </c>
      <c r="E1272">
        <v>2170687600</v>
      </c>
      <c r="F1272" t="s">
        <v>16</v>
      </c>
      <c r="G1272" t="s">
        <v>17</v>
      </c>
      <c r="H1272" t="s">
        <v>141</v>
      </c>
      <c r="I1272" t="s">
        <v>185</v>
      </c>
      <c r="J1272" t="s">
        <v>1543</v>
      </c>
      <c r="K1272" s="9">
        <v>43598</v>
      </c>
      <c r="L1272" s="10">
        <v>0.41180555555555554</v>
      </c>
      <c r="M1272" t="s">
        <v>1544</v>
      </c>
      <c r="N1272" t="s">
        <v>2156</v>
      </c>
      <c r="O1272" t="s">
        <v>22</v>
      </c>
    </row>
    <row r="1273" spans="1:15" hidden="1">
      <c r="A1273" t="s">
        <v>15</v>
      </c>
      <c r="B1273" t="str">
        <f>"FES1162689055"</f>
        <v>FES1162689055</v>
      </c>
      <c r="C1273" s="9">
        <v>43595</v>
      </c>
      <c r="D1273">
        <v>1</v>
      </c>
      <c r="E1273">
        <v>2170687639</v>
      </c>
      <c r="F1273" t="s">
        <v>16</v>
      </c>
      <c r="G1273" t="s">
        <v>17</v>
      </c>
      <c r="H1273" t="s">
        <v>141</v>
      </c>
      <c r="I1273" t="s">
        <v>142</v>
      </c>
      <c r="J1273" t="s">
        <v>2157</v>
      </c>
      <c r="K1273" s="9">
        <v>43598</v>
      </c>
      <c r="L1273" s="10">
        <v>0.43611111111111112</v>
      </c>
      <c r="M1273" t="s">
        <v>2158</v>
      </c>
      <c r="N1273" t="s">
        <v>2159</v>
      </c>
      <c r="O1273" t="s">
        <v>22</v>
      </c>
    </row>
    <row r="1274" spans="1:15">
      <c r="A1274" s="6" t="s">
        <v>15</v>
      </c>
      <c r="B1274" s="6" t="str">
        <f>"FES1162689113"</f>
        <v>FES1162689113</v>
      </c>
      <c r="C1274" s="7">
        <v>43595</v>
      </c>
      <c r="D1274" s="6">
        <v>1</v>
      </c>
      <c r="E1274" s="6">
        <v>2170687691</v>
      </c>
      <c r="F1274" s="6" t="s">
        <v>16</v>
      </c>
      <c r="G1274" s="6" t="s">
        <v>17</v>
      </c>
      <c r="H1274" s="6" t="s">
        <v>17</v>
      </c>
      <c r="I1274" s="6" t="s">
        <v>64</v>
      </c>
      <c r="J1274" s="6" t="s">
        <v>2160</v>
      </c>
      <c r="K1274" s="7">
        <v>43598</v>
      </c>
      <c r="L1274" s="8">
        <v>0.35416666666666669</v>
      </c>
      <c r="M1274" s="6" t="s">
        <v>2161</v>
      </c>
      <c r="N1274" s="6" t="s">
        <v>21</v>
      </c>
      <c r="O1274" s="6" t="s">
        <v>22</v>
      </c>
    </row>
    <row r="1275" spans="1:15">
      <c r="A1275" s="6" t="s">
        <v>15</v>
      </c>
      <c r="B1275" s="6" t="str">
        <f>"RFES1162682611"</f>
        <v>RFES1162682611</v>
      </c>
      <c r="C1275" s="7">
        <v>43595</v>
      </c>
      <c r="D1275" s="6">
        <v>1</v>
      </c>
      <c r="E1275" s="6">
        <v>2170682397</v>
      </c>
      <c r="F1275" s="6" t="s">
        <v>16</v>
      </c>
      <c r="G1275" s="6" t="s">
        <v>290</v>
      </c>
      <c r="H1275" s="6" t="s">
        <v>17</v>
      </c>
      <c r="I1275" s="6" t="s">
        <v>64</v>
      </c>
      <c r="J1275" s="6" t="s">
        <v>476</v>
      </c>
      <c r="K1275" s="7">
        <v>43598</v>
      </c>
      <c r="L1275" s="8">
        <v>0.37083333333333335</v>
      </c>
      <c r="M1275" s="6" t="s">
        <v>2037</v>
      </c>
      <c r="N1275" s="6" t="s">
        <v>21</v>
      </c>
      <c r="O1275" s="6" t="s">
        <v>22</v>
      </c>
    </row>
    <row r="1276" spans="1:15" hidden="1">
      <c r="A1276" t="s">
        <v>15</v>
      </c>
      <c r="B1276" t="str">
        <f>"FES1162689164"</f>
        <v>FES1162689164</v>
      </c>
      <c r="C1276" s="9">
        <v>43595</v>
      </c>
      <c r="D1276">
        <v>1</v>
      </c>
      <c r="E1276">
        <v>217067719</v>
      </c>
      <c r="F1276" t="s">
        <v>16</v>
      </c>
      <c r="G1276" t="s">
        <v>17</v>
      </c>
      <c r="H1276" t="s">
        <v>43</v>
      </c>
      <c r="I1276" t="s">
        <v>2162</v>
      </c>
      <c r="J1276" t="s">
        <v>2163</v>
      </c>
      <c r="K1276" s="9">
        <v>43599</v>
      </c>
      <c r="L1276" s="10">
        <v>0.48402777777777778</v>
      </c>
      <c r="M1276" t="s">
        <v>2164</v>
      </c>
      <c r="N1276" t="s">
        <v>2165</v>
      </c>
      <c r="O1276" t="s">
        <v>22</v>
      </c>
    </row>
    <row r="1277" spans="1:15" hidden="1">
      <c r="A1277" t="s">
        <v>15</v>
      </c>
      <c r="B1277" t="str">
        <f>"FES1162689072"</f>
        <v>FES1162689072</v>
      </c>
      <c r="C1277" s="9">
        <v>43595</v>
      </c>
      <c r="D1277">
        <v>1</v>
      </c>
      <c r="E1277">
        <v>2170687662</v>
      </c>
      <c r="F1277" t="s">
        <v>2166</v>
      </c>
      <c r="G1277" t="s">
        <v>17</v>
      </c>
      <c r="H1277" t="s">
        <v>43</v>
      </c>
      <c r="I1277" t="s">
        <v>44</v>
      </c>
      <c r="J1277" t="s">
        <v>2167</v>
      </c>
      <c r="K1277" s="9">
        <v>43596</v>
      </c>
      <c r="L1277" s="10">
        <v>0.4375</v>
      </c>
      <c r="M1277" t="s">
        <v>2168</v>
      </c>
      <c r="N1277" t="s">
        <v>2169</v>
      </c>
      <c r="O1277" t="s">
        <v>2170</v>
      </c>
    </row>
    <row r="1278" spans="1:15">
      <c r="A1278" s="6" t="s">
        <v>15</v>
      </c>
      <c r="B1278" s="6" t="str">
        <f>"009935723234"</f>
        <v>009935723234</v>
      </c>
      <c r="C1278" s="7">
        <v>43595</v>
      </c>
      <c r="D1278" s="6">
        <v>1</v>
      </c>
      <c r="E1278" s="6">
        <v>1162680705</v>
      </c>
      <c r="F1278" s="6" t="s">
        <v>16</v>
      </c>
      <c r="G1278" s="6" t="s">
        <v>17</v>
      </c>
      <c r="H1278" s="6" t="s">
        <v>17</v>
      </c>
      <c r="I1278" s="6" t="s">
        <v>1376</v>
      </c>
      <c r="J1278" s="6" t="s">
        <v>1718</v>
      </c>
      <c r="K1278" s="7">
        <v>43598</v>
      </c>
      <c r="L1278" s="8">
        <v>0.40972222222222227</v>
      </c>
      <c r="M1278" s="6" t="s">
        <v>2171</v>
      </c>
      <c r="N1278" s="6" t="s">
        <v>21</v>
      </c>
      <c r="O1278" s="6" t="s">
        <v>2125</v>
      </c>
    </row>
    <row r="1279" spans="1:15" hidden="1">
      <c r="A1279" t="s">
        <v>15</v>
      </c>
      <c r="B1279" t="str">
        <f>"FES1162689233"</f>
        <v>FES1162689233</v>
      </c>
      <c r="C1279" s="9">
        <v>43595</v>
      </c>
      <c r="D1279">
        <v>2</v>
      </c>
      <c r="E1279">
        <v>2170687797</v>
      </c>
      <c r="F1279" t="s">
        <v>58</v>
      </c>
      <c r="G1279" t="s">
        <v>59</v>
      </c>
      <c r="H1279" t="s">
        <v>59</v>
      </c>
      <c r="I1279" t="s">
        <v>67</v>
      </c>
      <c r="J1279" t="s">
        <v>117</v>
      </c>
      <c r="K1279" s="9">
        <v>43598</v>
      </c>
      <c r="L1279" s="10">
        <v>0.43055555555555558</v>
      </c>
      <c r="M1279" t="s">
        <v>2172</v>
      </c>
      <c r="N1279" t="s">
        <v>2173</v>
      </c>
      <c r="O1279" t="s">
        <v>22</v>
      </c>
    </row>
    <row r="1280" spans="1:15" hidden="1">
      <c r="A1280" t="s">
        <v>15</v>
      </c>
      <c r="B1280" t="str">
        <f>"FES1162689275"</f>
        <v>FES1162689275</v>
      </c>
      <c r="C1280" s="9">
        <v>43595</v>
      </c>
      <c r="D1280">
        <v>1</v>
      </c>
      <c r="E1280">
        <v>2170687850</v>
      </c>
      <c r="F1280" t="s">
        <v>16</v>
      </c>
      <c r="G1280" t="s">
        <v>17</v>
      </c>
      <c r="H1280" t="s">
        <v>290</v>
      </c>
      <c r="I1280" t="s">
        <v>601</v>
      </c>
      <c r="J1280" t="s">
        <v>2174</v>
      </c>
      <c r="K1280" s="9">
        <v>43598</v>
      </c>
      <c r="L1280" s="10">
        <v>0.54166666666666663</v>
      </c>
      <c r="M1280" t="s">
        <v>2175</v>
      </c>
      <c r="N1280" t="s">
        <v>2176</v>
      </c>
      <c r="O1280" t="s">
        <v>22</v>
      </c>
    </row>
    <row r="1281" spans="1:15" hidden="1">
      <c r="A1281" t="s">
        <v>15</v>
      </c>
      <c r="B1281" t="str">
        <f>"FES1162689162"</f>
        <v>FES1162689162</v>
      </c>
      <c r="C1281" s="9">
        <v>43595</v>
      </c>
      <c r="D1281">
        <v>1</v>
      </c>
      <c r="E1281">
        <v>2170687717</v>
      </c>
      <c r="F1281" t="s">
        <v>16</v>
      </c>
      <c r="G1281" t="s">
        <v>17</v>
      </c>
      <c r="H1281" t="s">
        <v>132</v>
      </c>
      <c r="I1281" t="s">
        <v>133</v>
      </c>
      <c r="J1281" t="s">
        <v>189</v>
      </c>
      <c r="K1281" s="9">
        <v>43598</v>
      </c>
      <c r="L1281" s="10">
        <v>0.41666666666666669</v>
      </c>
      <c r="M1281" t="s">
        <v>585</v>
      </c>
      <c r="N1281" t="s">
        <v>2177</v>
      </c>
      <c r="O1281" t="s">
        <v>22</v>
      </c>
    </row>
    <row r="1282" spans="1:15" hidden="1">
      <c r="A1282" t="s">
        <v>15</v>
      </c>
      <c r="B1282" t="str">
        <f>"FES1162689149"</f>
        <v>FES1162689149</v>
      </c>
      <c r="C1282" s="9">
        <v>43595</v>
      </c>
      <c r="D1282">
        <v>1</v>
      </c>
      <c r="E1282">
        <v>2170686186</v>
      </c>
      <c r="F1282" t="s">
        <v>16</v>
      </c>
      <c r="G1282" t="s">
        <v>17</v>
      </c>
      <c r="H1282" t="s">
        <v>121</v>
      </c>
      <c r="I1282" t="s">
        <v>2178</v>
      </c>
      <c r="J1282" t="s">
        <v>2179</v>
      </c>
      <c r="K1282" s="9">
        <v>43599</v>
      </c>
      <c r="L1282" s="10">
        <v>0.50416666666666665</v>
      </c>
      <c r="M1282" t="s">
        <v>2180</v>
      </c>
      <c r="N1282" t="s">
        <v>2181</v>
      </c>
      <c r="O1282" t="s">
        <v>22</v>
      </c>
    </row>
    <row r="1283" spans="1:15">
      <c r="A1283" s="6" t="s">
        <v>15</v>
      </c>
      <c r="B1283" s="6" t="str">
        <f>"FES1162689234"</f>
        <v>FES1162689234</v>
      </c>
      <c r="C1283" s="7">
        <v>43595</v>
      </c>
      <c r="D1283" s="6">
        <v>1</v>
      </c>
      <c r="E1283" s="6">
        <v>2170687808</v>
      </c>
      <c r="F1283" s="6" t="s">
        <v>16</v>
      </c>
      <c r="G1283" s="6" t="s">
        <v>17</v>
      </c>
      <c r="H1283" s="6" t="s">
        <v>17</v>
      </c>
      <c r="I1283" s="6" t="s">
        <v>67</v>
      </c>
      <c r="J1283" s="6" t="s">
        <v>151</v>
      </c>
      <c r="K1283" s="7">
        <v>43598</v>
      </c>
      <c r="L1283" s="8">
        <v>0.3888888888888889</v>
      </c>
      <c r="M1283" s="6" t="s">
        <v>2182</v>
      </c>
      <c r="N1283" s="6" t="s">
        <v>21</v>
      </c>
      <c r="O1283" s="6" t="s">
        <v>22</v>
      </c>
    </row>
    <row r="1284" spans="1:15" hidden="1">
      <c r="A1284" t="s">
        <v>15</v>
      </c>
      <c r="B1284" t="str">
        <f>"FES1162688886"</f>
        <v>FES1162688886</v>
      </c>
      <c r="C1284" s="9">
        <v>43595</v>
      </c>
      <c r="D1284">
        <v>1</v>
      </c>
      <c r="E1284">
        <v>2170686170</v>
      </c>
      <c r="F1284" t="s">
        <v>16</v>
      </c>
      <c r="G1284" t="s">
        <v>17</v>
      </c>
      <c r="H1284" t="s">
        <v>300</v>
      </c>
      <c r="I1284" t="s">
        <v>301</v>
      </c>
      <c r="J1284" t="s">
        <v>506</v>
      </c>
      <c r="K1284" s="9">
        <v>43598</v>
      </c>
      <c r="L1284" s="10">
        <v>0.3833333333333333</v>
      </c>
      <c r="M1284" t="s">
        <v>2183</v>
      </c>
      <c r="N1284" t="s">
        <v>2184</v>
      </c>
      <c r="O1284" t="s">
        <v>22</v>
      </c>
    </row>
    <row r="1285" spans="1:15" hidden="1">
      <c r="A1285" t="s">
        <v>15</v>
      </c>
      <c r="B1285" t="str">
        <f>"FES1162688804"</f>
        <v>FES1162688804</v>
      </c>
      <c r="C1285" s="9">
        <v>43595</v>
      </c>
      <c r="D1285">
        <v>1</v>
      </c>
      <c r="E1285">
        <v>2170684767</v>
      </c>
      <c r="F1285" t="s">
        <v>16</v>
      </c>
      <c r="G1285" t="s">
        <v>17</v>
      </c>
      <c r="H1285" t="s">
        <v>290</v>
      </c>
      <c r="I1285" t="s">
        <v>316</v>
      </c>
      <c r="J1285" t="s">
        <v>317</v>
      </c>
      <c r="K1285" s="9">
        <v>43598</v>
      </c>
      <c r="L1285" s="10">
        <v>0.5625</v>
      </c>
      <c r="M1285" t="s">
        <v>2185</v>
      </c>
      <c r="N1285" t="s">
        <v>2186</v>
      </c>
      <c r="O1285" t="s">
        <v>22</v>
      </c>
    </row>
    <row r="1286" spans="1:15" hidden="1">
      <c r="A1286" t="s">
        <v>15</v>
      </c>
      <c r="B1286" t="str">
        <f>"FES1162689154"</f>
        <v>FES1162689154</v>
      </c>
      <c r="C1286" s="9">
        <v>43595</v>
      </c>
      <c r="D1286">
        <v>1</v>
      </c>
      <c r="E1286">
        <v>2170686487</v>
      </c>
      <c r="F1286" t="s">
        <v>16</v>
      </c>
      <c r="G1286" t="s">
        <v>17</v>
      </c>
      <c r="H1286" t="s">
        <v>141</v>
      </c>
      <c r="I1286" t="s">
        <v>185</v>
      </c>
      <c r="J1286" t="s">
        <v>503</v>
      </c>
      <c r="K1286" s="9">
        <v>43598</v>
      </c>
      <c r="L1286" s="10">
        <v>0.4069444444444445</v>
      </c>
      <c r="M1286" t="s">
        <v>1355</v>
      </c>
      <c r="N1286" t="s">
        <v>2187</v>
      </c>
      <c r="O1286" t="s">
        <v>22</v>
      </c>
    </row>
    <row r="1287" spans="1:15" hidden="1">
      <c r="A1287" t="s">
        <v>15</v>
      </c>
      <c r="B1287" t="str">
        <f>"FES1162689220"</f>
        <v>FES1162689220</v>
      </c>
      <c r="C1287" s="9">
        <v>43595</v>
      </c>
      <c r="D1287">
        <v>1</v>
      </c>
      <c r="E1287">
        <v>2170687785</v>
      </c>
      <c r="F1287" t="s">
        <v>16</v>
      </c>
      <c r="G1287" t="s">
        <v>17</v>
      </c>
      <c r="H1287" t="s">
        <v>121</v>
      </c>
      <c r="I1287" t="s">
        <v>122</v>
      </c>
      <c r="J1287" t="s">
        <v>123</v>
      </c>
      <c r="K1287" s="9">
        <v>43598</v>
      </c>
      <c r="L1287" s="10">
        <v>0.41666666666666669</v>
      </c>
      <c r="M1287" t="s">
        <v>2188</v>
      </c>
      <c r="N1287" t="s">
        <v>2189</v>
      </c>
      <c r="O1287" t="s">
        <v>22</v>
      </c>
    </row>
    <row r="1288" spans="1:15" hidden="1">
      <c r="A1288" t="s">
        <v>15</v>
      </c>
      <c r="B1288" t="str">
        <f>"FES1162689258"</f>
        <v>FES1162689258</v>
      </c>
      <c r="C1288" s="9">
        <v>43595</v>
      </c>
      <c r="D1288">
        <v>1</v>
      </c>
      <c r="E1288">
        <v>2170687402</v>
      </c>
      <c r="F1288" t="s">
        <v>16</v>
      </c>
      <c r="G1288" t="s">
        <v>17</v>
      </c>
      <c r="H1288" t="s">
        <v>32</v>
      </c>
      <c r="I1288" t="s">
        <v>33</v>
      </c>
      <c r="J1288" t="s">
        <v>832</v>
      </c>
      <c r="K1288" s="9">
        <v>43598</v>
      </c>
      <c r="L1288" s="10">
        <v>0.3576388888888889</v>
      </c>
      <c r="M1288" t="s">
        <v>787</v>
      </c>
      <c r="N1288" t="s">
        <v>2190</v>
      </c>
      <c r="O1288" t="s">
        <v>22</v>
      </c>
    </row>
    <row r="1289" spans="1:15">
      <c r="A1289" s="6" t="s">
        <v>15</v>
      </c>
      <c r="B1289" s="6" t="str">
        <f>"FES1162689177"</f>
        <v>FES1162689177</v>
      </c>
      <c r="C1289" s="7">
        <v>43595</v>
      </c>
      <c r="D1289" s="6">
        <v>1</v>
      </c>
      <c r="E1289" s="6">
        <v>2170687741</v>
      </c>
      <c r="F1289" s="6" t="s">
        <v>16</v>
      </c>
      <c r="G1289" s="6" t="s">
        <v>17</v>
      </c>
      <c r="H1289" s="6" t="s">
        <v>17</v>
      </c>
      <c r="I1289" s="6" t="s">
        <v>64</v>
      </c>
      <c r="J1289" s="6" t="s">
        <v>116</v>
      </c>
      <c r="K1289" s="7">
        <v>43598</v>
      </c>
      <c r="L1289" s="8">
        <v>0.4375</v>
      </c>
      <c r="M1289" s="6" t="s">
        <v>2122</v>
      </c>
      <c r="N1289" s="6" t="s">
        <v>21</v>
      </c>
      <c r="O1289" s="6" t="s">
        <v>22</v>
      </c>
    </row>
    <row r="1290" spans="1:15" hidden="1">
      <c r="A1290" t="s">
        <v>15</v>
      </c>
      <c r="B1290" t="str">
        <f>"FES1162689118"</f>
        <v>FES1162689118</v>
      </c>
      <c r="C1290" s="9">
        <v>43595</v>
      </c>
      <c r="D1290">
        <v>1</v>
      </c>
      <c r="E1290">
        <v>2170687698</v>
      </c>
      <c r="F1290" t="s">
        <v>16</v>
      </c>
      <c r="G1290" t="s">
        <v>17</v>
      </c>
      <c r="H1290" t="s">
        <v>141</v>
      </c>
      <c r="I1290" t="s">
        <v>854</v>
      </c>
      <c r="J1290" t="s">
        <v>2191</v>
      </c>
      <c r="K1290" s="9">
        <v>43598</v>
      </c>
      <c r="L1290" s="10">
        <v>0.54861111111111105</v>
      </c>
      <c r="M1290" t="s">
        <v>481</v>
      </c>
      <c r="N1290" t="s">
        <v>2192</v>
      </c>
      <c r="O1290" t="s">
        <v>22</v>
      </c>
    </row>
    <row r="1291" spans="1:15" hidden="1">
      <c r="A1291" t="s">
        <v>15</v>
      </c>
      <c r="B1291" t="str">
        <f>"FES1162688739"</f>
        <v>FES1162688739</v>
      </c>
      <c r="C1291" s="9">
        <v>43595</v>
      </c>
      <c r="D1291">
        <v>1</v>
      </c>
      <c r="E1291">
        <v>2170687217</v>
      </c>
      <c r="F1291" t="s">
        <v>16</v>
      </c>
      <c r="G1291" t="s">
        <v>17</v>
      </c>
      <c r="H1291" t="s">
        <v>1474</v>
      </c>
      <c r="I1291" t="s">
        <v>1475</v>
      </c>
      <c r="J1291" t="s">
        <v>1476</v>
      </c>
      <c r="K1291" s="9">
        <v>43598</v>
      </c>
      <c r="L1291" s="10">
        <v>0.54513888888888895</v>
      </c>
      <c r="M1291" t="s">
        <v>2193</v>
      </c>
      <c r="N1291" t="s">
        <v>2194</v>
      </c>
      <c r="O1291" t="s">
        <v>22</v>
      </c>
    </row>
    <row r="1292" spans="1:15" hidden="1">
      <c r="A1292" t="s">
        <v>15</v>
      </c>
      <c r="B1292" t="str">
        <f>"FES1162688850"</f>
        <v>FES1162688850</v>
      </c>
      <c r="C1292" s="9">
        <v>43595</v>
      </c>
      <c r="D1292">
        <v>2</v>
      </c>
      <c r="E1292">
        <v>2170685799</v>
      </c>
      <c r="F1292" t="s">
        <v>16</v>
      </c>
      <c r="G1292" t="s">
        <v>17</v>
      </c>
      <c r="H1292" t="s">
        <v>43</v>
      </c>
      <c r="I1292" t="s">
        <v>44</v>
      </c>
      <c r="J1292" t="s">
        <v>236</v>
      </c>
      <c r="K1292" s="9">
        <v>43598</v>
      </c>
      <c r="L1292" s="10">
        <v>0.41666666666666669</v>
      </c>
      <c r="M1292" t="s">
        <v>1793</v>
      </c>
      <c r="N1292" t="s">
        <v>2195</v>
      </c>
      <c r="O1292" t="s">
        <v>22</v>
      </c>
    </row>
    <row r="1293" spans="1:15" hidden="1">
      <c r="A1293" t="s">
        <v>15</v>
      </c>
      <c r="B1293" t="str">
        <f>"FES1162689103"</f>
        <v>FES1162689103</v>
      </c>
      <c r="C1293" s="9">
        <v>43595</v>
      </c>
      <c r="D1293">
        <v>1</v>
      </c>
      <c r="E1293">
        <v>2170687684</v>
      </c>
      <c r="F1293" t="s">
        <v>16</v>
      </c>
      <c r="G1293" t="s">
        <v>17</v>
      </c>
      <c r="H1293" t="s">
        <v>43</v>
      </c>
      <c r="I1293" t="s">
        <v>44</v>
      </c>
      <c r="J1293" t="s">
        <v>48</v>
      </c>
      <c r="K1293" s="9">
        <v>43598</v>
      </c>
      <c r="L1293" s="10">
        <v>0.33749999999999997</v>
      </c>
      <c r="M1293" t="s">
        <v>2087</v>
      </c>
      <c r="N1293" t="s">
        <v>2196</v>
      </c>
      <c r="O1293" t="s">
        <v>22</v>
      </c>
    </row>
    <row r="1294" spans="1:15" hidden="1">
      <c r="A1294" t="s">
        <v>15</v>
      </c>
      <c r="B1294" t="str">
        <f>"FES1162689174"</f>
        <v>FES1162689174</v>
      </c>
      <c r="C1294" s="9">
        <v>43595</v>
      </c>
      <c r="D1294">
        <v>1</v>
      </c>
      <c r="E1294">
        <v>2170687737</v>
      </c>
      <c r="F1294" t="s">
        <v>16</v>
      </c>
      <c r="G1294" t="s">
        <v>17</v>
      </c>
      <c r="H1294" t="s">
        <v>132</v>
      </c>
      <c r="I1294" t="s">
        <v>137</v>
      </c>
      <c r="J1294" t="s">
        <v>2197</v>
      </c>
      <c r="K1294" s="9">
        <v>43599</v>
      </c>
      <c r="L1294" s="10">
        <v>0.41111111111111115</v>
      </c>
      <c r="M1294" t="s">
        <v>2198</v>
      </c>
      <c r="N1294" t="s">
        <v>2199</v>
      </c>
      <c r="O1294" t="s">
        <v>22</v>
      </c>
    </row>
    <row r="1295" spans="1:15" hidden="1">
      <c r="A1295" t="s">
        <v>15</v>
      </c>
      <c r="B1295" t="str">
        <f>"FES1162689245"</f>
        <v>FES1162689245</v>
      </c>
      <c r="C1295" s="9">
        <v>43595</v>
      </c>
      <c r="D1295">
        <v>1</v>
      </c>
      <c r="E1295">
        <v>2170687823</v>
      </c>
      <c r="F1295" t="s">
        <v>16</v>
      </c>
      <c r="G1295" t="s">
        <v>17</v>
      </c>
      <c r="H1295" t="s">
        <v>43</v>
      </c>
      <c r="I1295" t="s">
        <v>44</v>
      </c>
      <c r="J1295" t="s">
        <v>2200</v>
      </c>
      <c r="K1295" s="9">
        <v>43598</v>
      </c>
      <c r="L1295" s="10">
        <v>0.48749999999999999</v>
      </c>
      <c r="M1295" t="s">
        <v>2201</v>
      </c>
      <c r="N1295" t="s">
        <v>2202</v>
      </c>
      <c r="O1295" t="s">
        <v>22</v>
      </c>
    </row>
    <row r="1296" spans="1:15" hidden="1">
      <c r="A1296" t="s">
        <v>15</v>
      </c>
      <c r="B1296" t="str">
        <f>"FES1162689156"</f>
        <v>FES1162689156</v>
      </c>
      <c r="C1296" s="9">
        <v>43595</v>
      </c>
      <c r="D1296">
        <v>1</v>
      </c>
      <c r="E1296">
        <v>2170686493</v>
      </c>
      <c r="F1296" t="s">
        <v>16</v>
      </c>
      <c r="G1296" t="s">
        <v>17</v>
      </c>
      <c r="H1296" t="s">
        <v>141</v>
      </c>
      <c r="I1296" t="s">
        <v>185</v>
      </c>
      <c r="J1296" t="s">
        <v>515</v>
      </c>
      <c r="K1296" s="9">
        <v>43598</v>
      </c>
      <c r="L1296" s="10">
        <v>0.42638888888888887</v>
      </c>
      <c r="M1296" t="s">
        <v>516</v>
      </c>
      <c r="N1296" t="s">
        <v>2203</v>
      </c>
      <c r="O1296" t="s">
        <v>22</v>
      </c>
    </row>
    <row r="1297" spans="1:15" hidden="1">
      <c r="A1297" t="s">
        <v>15</v>
      </c>
      <c r="B1297" t="str">
        <f>"FES1162689139"</f>
        <v>FES1162689139</v>
      </c>
      <c r="C1297" s="9">
        <v>43595</v>
      </c>
      <c r="D1297">
        <v>1</v>
      </c>
      <c r="E1297">
        <v>2170684733</v>
      </c>
      <c r="F1297" t="s">
        <v>16</v>
      </c>
      <c r="G1297" t="s">
        <v>17</v>
      </c>
      <c r="H1297" t="s">
        <v>141</v>
      </c>
      <c r="I1297" t="s">
        <v>142</v>
      </c>
      <c r="J1297" t="s">
        <v>2204</v>
      </c>
      <c r="K1297" s="9">
        <v>43598</v>
      </c>
      <c r="L1297" s="10">
        <v>0.33055555555555555</v>
      </c>
      <c r="M1297" t="s">
        <v>2205</v>
      </c>
      <c r="N1297" t="s">
        <v>2206</v>
      </c>
      <c r="O1297" t="s">
        <v>22</v>
      </c>
    </row>
    <row r="1298" spans="1:15" hidden="1">
      <c r="A1298" t="s">
        <v>15</v>
      </c>
      <c r="B1298" t="str">
        <f>"FES1162689259"</f>
        <v>FES1162689259</v>
      </c>
      <c r="C1298" s="9">
        <v>43595</v>
      </c>
      <c r="D1298">
        <v>1</v>
      </c>
      <c r="E1298">
        <v>2170687316</v>
      </c>
      <c r="F1298" t="s">
        <v>16</v>
      </c>
      <c r="G1298" t="s">
        <v>17</v>
      </c>
      <c r="H1298" t="s">
        <v>141</v>
      </c>
      <c r="I1298" t="s">
        <v>142</v>
      </c>
      <c r="J1298" t="s">
        <v>213</v>
      </c>
      <c r="K1298" s="9">
        <v>43598</v>
      </c>
      <c r="L1298" s="10">
        <v>0.35625000000000001</v>
      </c>
      <c r="M1298" t="s">
        <v>214</v>
      </c>
      <c r="N1298" t="s">
        <v>2207</v>
      </c>
      <c r="O1298" t="s">
        <v>22</v>
      </c>
    </row>
    <row r="1299" spans="1:15">
      <c r="A1299" s="6" t="s">
        <v>15</v>
      </c>
      <c r="B1299" s="6" t="str">
        <f>"FES1162689226"</f>
        <v>FES1162689226</v>
      </c>
      <c r="C1299" s="7">
        <v>43595</v>
      </c>
      <c r="D1299" s="6">
        <v>1</v>
      </c>
      <c r="E1299" s="6">
        <v>2170687800</v>
      </c>
      <c r="F1299" s="6" t="s">
        <v>16</v>
      </c>
      <c r="G1299" s="6" t="s">
        <v>17</v>
      </c>
      <c r="H1299" s="6" t="s">
        <v>17</v>
      </c>
      <c r="I1299" s="6" t="s">
        <v>701</v>
      </c>
      <c r="J1299" s="6" t="s">
        <v>2208</v>
      </c>
      <c r="K1299" s="7">
        <v>43598</v>
      </c>
      <c r="L1299" s="8">
        <v>0.33333333333333331</v>
      </c>
      <c r="M1299" s="6" t="s">
        <v>100</v>
      </c>
      <c r="N1299" s="6" t="s">
        <v>21</v>
      </c>
      <c r="O1299" s="6" t="s">
        <v>22</v>
      </c>
    </row>
    <row r="1300" spans="1:15" hidden="1">
      <c r="A1300" t="s">
        <v>15</v>
      </c>
      <c r="B1300" t="str">
        <f>"FES1162689144"</f>
        <v>FES1162689144</v>
      </c>
      <c r="C1300" s="9">
        <v>43595</v>
      </c>
      <c r="D1300">
        <v>1</v>
      </c>
      <c r="E1300">
        <v>2170685446</v>
      </c>
      <c r="F1300" t="s">
        <v>16</v>
      </c>
      <c r="G1300" t="s">
        <v>17</v>
      </c>
      <c r="H1300" t="s">
        <v>440</v>
      </c>
      <c r="I1300" t="s">
        <v>441</v>
      </c>
      <c r="J1300" t="s">
        <v>317</v>
      </c>
      <c r="K1300" s="9">
        <v>43598</v>
      </c>
      <c r="L1300" s="10">
        <v>0.69374999999999998</v>
      </c>
      <c r="M1300" t="s">
        <v>317</v>
      </c>
      <c r="N1300" t="s">
        <v>2209</v>
      </c>
      <c r="O1300" t="s">
        <v>22</v>
      </c>
    </row>
    <row r="1301" spans="1:15" hidden="1">
      <c r="A1301" t="s">
        <v>15</v>
      </c>
      <c r="B1301" t="str">
        <f>"FES1162689098"</f>
        <v>FES1162689098</v>
      </c>
      <c r="C1301" s="9">
        <v>43595</v>
      </c>
      <c r="D1301">
        <v>1</v>
      </c>
      <c r="E1301">
        <v>2170687290</v>
      </c>
      <c r="F1301" t="s">
        <v>16</v>
      </c>
      <c r="G1301" t="s">
        <v>17</v>
      </c>
      <c r="H1301" t="s">
        <v>141</v>
      </c>
      <c r="I1301" t="s">
        <v>185</v>
      </c>
      <c r="J1301" t="s">
        <v>210</v>
      </c>
      <c r="K1301" s="9">
        <v>43598</v>
      </c>
      <c r="L1301" s="10">
        <v>0.3611111111111111</v>
      </c>
      <c r="M1301" t="s">
        <v>510</v>
      </c>
      <c r="N1301" t="s">
        <v>2210</v>
      </c>
      <c r="O1301" t="s">
        <v>22</v>
      </c>
    </row>
    <row r="1302" spans="1:15" hidden="1">
      <c r="A1302" t="s">
        <v>15</v>
      </c>
      <c r="B1302" t="str">
        <f>"FES1162689029"</f>
        <v>FES1162689029</v>
      </c>
      <c r="C1302" s="9">
        <v>43595</v>
      </c>
      <c r="D1302">
        <v>1</v>
      </c>
      <c r="E1302">
        <v>2170686910</v>
      </c>
      <c r="F1302" t="s">
        <v>16</v>
      </c>
      <c r="G1302" t="s">
        <v>17</v>
      </c>
      <c r="H1302" t="s">
        <v>141</v>
      </c>
      <c r="I1302" t="s">
        <v>185</v>
      </c>
      <c r="J1302" t="s">
        <v>1011</v>
      </c>
      <c r="K1302" s="9">
        <v>43598</v>
      </c>
      <c r="L1302" s="10">
        <v>0.3520833333333333</v>
      </c>
      <c r="M1302" t="s">
        <v>1012</v>
      </c>
      <c r="N1302" t="s">
        <v>2211</v>
      </c>
      <c r="O1302" t="s">
        <v>22</v>
      </c>
    </row>
    <row r="1303" spans="1:15" hidden="1">
      <c r="A1303" t="s">
        <v>15</v>
      </c>
      <c r="B1303" t="str">
        <f>"FES1162689173"</f>
        <v>FES1162689173</v>
      </c>
      <c r="C1303" s="9">
        <v>43595</v>
      </c>
      <c r="D1303">
        <v>1</v>
      </c>
      <c r="E1303">
        <v>2170687734</v>
      </c>
      <c r="F1303" t="s">
        <v>16</v>
      </c>
      <c r="G1303" t="s">
        <v>17</v>
      </c>
      <c r="H1303" t="s">
        <v>132</v>
      </c>
      <c r="I1303" t="s">
        <v>133</v>
      </c>
      <c r="J1303" t="s">
        <v>189</v>
      </c>
      <c r="K1303" s="9">
        <v>43598</v>
      </c>
      <c r="L1303" s="10">
        <v>0.41666666666666669</v>
      </c>
      <c r="M1303" t="s">
        <v>585</v>
      </c>
      <c r="N1303" t="s">
        <v>2212</v>
      </c>
      <c r="O1303" t="s">
        <v>22</v>
      </c>
    </row>
    <row r="1304" spans="1:15" hidden="1">
      <c r="A1304" t="s">
        <v>15</v>
      </c>
      <c r="B1304" t="str">
        <f>"FES1162688921"</f>
        <v>FES1162688921</v>
      </c>
      <c r="C1304" s="9">
        <v>43595</v>
      </c>
      <c r="D1304">
        <v>1</v>
      </c>
      <c r="E1304">
        <v>2170687519</v>
      </c>
      <c r="F1304" t="s">
        <v>16</v>
      </c>
      <c r="G1304" t="s">
        <v>17</v>
      </c>
      <c r="H1304" t="s">
        <v>43</v>
      </c>
      <c r="I1304" t="s">
        <v>738</v>
      </c>
      <c r="J1304" t="s">
        <v>739</v>
      </c>
      <c r="K1304" s="9">
        <v>43598</v>
      </c>
      <c r="L1304" s="10">
        <v>0.38958333333333334</v>
      </c>
      <c r="M1304" t="s">
        <v>740</v>
      </c>
      <c r="N1304" t="s">
        <v>2213</v>
      </c>
      <c r="O1304" t="s">
        <v>22</v>
      </c>
    </row>
    <row r="1305" spans="1:15" hidden="1">
      <c r="A1305" t="s">
        <v>15</v>
      </c>
      <c r="B1305" t="str">
        <f>"FES1162689028"</f>
        <v>FES1162689028</v>
      </c>
      <c r="C1305" s="9">
        <v>43595</v>
      </c>
      <c r="D1305">
        <v>1</v>
      </c>
      <c r="E1305">
        <v>2170686219</v>
      </c>
      <c r="F1305" t="s">
        <v>16</v>
      </c>
      <c r="G1305" t="s">
        <v>17</v>
      </c>
      <c r="H1305" t="s">
        <v>43</v>
      </c>
      <c r="I1305" t="s">
        <v>44</v>
      </c>
      <c r="J1305" t="s">
        <v>207</v>
      </c>
      <c r="K1305" s="9">
        <v>43598</v>
      </c>
      <c r="L1305" s="10">
        <v>0.41666666666666669</v>
      </c>
      <c r="M1305" t="s">
        <v>2214</v>
      </c>
      <c r="N1305" t="s">
        <v>2215</v>
      </c>
      <c r="O1305" t="s">
        <v>22</v>
      </c>
    </row>
    <row r="1306" spans="1:15">
      <c r="A1306" s="6" t="s">
        <v>15</v>
      </c>
      <c r="B1306" s="6" t="str">
        <f>"FES1162689111"</f>
        <v>FES1162689111</v>
      </c>
      <c r="C1306" s="7">
        <v>43595</v>
      </c>
      <c r="D1306" s="6">
        <v>1</v>
      </c>
      <c r="E1306" s="6">
        <v>2170682565</v>
      </c>
      <c r="F1306" s="6" t="s">
        <v>16</v>
      </c>
      <c r="G1306" s="6" t="s">
        <v>17</v>
      </c>
      <c r="H1306" s="6" t="s">
        <v>17</v>
      </c>
      <c r="I1306" s="6" t="s">
        <v>26</v>
      </c>
      <c r="J1306" s="6" t="s">
        <v>2216</v>
      </c>
      <c r="K1306" s="7">
        <v>43598</v>
      </c>
      <c r="L1306" s="8">
        <v>0.33333333333333331</v>
      </c>
      <c r="M1306" s="6" t="s">
        <v>2217</v>
      </c>
      <c r="N1306" s="6" t="s">
        <v>21</v>
      </c>
      <c r="O1306" s="6" t="s">
        <v>22</v>
      </c>
    </row>
    <row r="1307" spans="1:15">
      <c r="A1307" s="6" t="s">
        <v>15</v>
      </c>
      <c r="B1307" s="6" t="str">
        <f>"FES1162689140"</f>
        <v>FES1162689140</v>
      </c>
      <c r="C1307" s="7">
        <v>43595</v>
      </c>
      <c r="D1307" s="6">
        <v>1</v>
      </c>
      <c r="E1307" s="6">
        <v>2170684816</v>
      </c>
      <c r="F1307" s="6" t="s">
        <v>16</v>
      </c>
      <c r="G1307" s="6" t="s">
        <v>17</v>
      </c>
      <c r="H1307" s="6" t="s">
        <v>17</v>
      </c>
      <c r="I1307" s="6" t="s">
        <v>18</v>
      </c>
      <c r="J1307" s="6" t="s">
        <v>2218</v>
      </c>
      <c r="K1307" s="7">
        <v>43598</v>
      </c>
      <c r="L1307" s="8">
        <v>0.34513888888888888</v>
      </c>
      <c r="M1307" s="6" t="s">
        <v>2219</v>
      </c>
      <c r="N1307" s="6" t="s">
        <v>21</v>
      </c>
      <c r="O1307" s="6" t="s">
        <v>22</v>
      </c>
    </row>
    <row r="1308" spans="1:15" hidden="1">
      <c r="A1308" t="s">
        <v>15</v>
      </c>
      <c r="B1308" t="str">
        <f>"FES1162688887"</f>
        <v>FES1162688887</v>
      </c>
      <c r="C1308" s="9">
        <v>43595</v>
      </c>
      <c r="D1308">
        <v>1</v>
      </c>
      <c r="E1308">
        <v>2170686203</v>
      </c>
      <c r="F1308" t="s">
        <v>16</v>
      </c>
      <c r="G1308" t="s">
        <v>17</v>
      </c>
      <c r="H1308" t="s">
        <v>43</v>
      </c>
      <c r="I1308" t="s">
        <v>75</v>
      </c>
      <c r="J1308" t="s">
        <v>76</v>
      </c>
      <c r="K1308" s="9">
        <v>43598</v>
      </c>
      <c r="L1308" s="10">
        <v>0.50486111111111109</v>
      </c>
      <c r="M1308" t="s">
        <v>2220</v>
      </c>
      <c r="N1308" t="s">
        <v>2221</v>
      </c>
      <c r="O1308" t="s">
        <v>22</v>
      </c>
    </row>
    <row r="1309" spans="1:15" hidden="1">
      <c r="A1309" t="s">
        <v>15</v>
      </c>
      <c r="B1309" t="str">
        <f>"FES1162689179"</f>
        <v>FES1162689179</v>
      </c>
      <c r="C1309" s="9">
        <v>43595</v>
      </c>
      <c r="D1309">
        <v>1</v>
      </c>
      <c r="E1309">
        <v>2170687742</v>
      </c>
      <c r="F1309" t="s">
        <v>16</v>
      </c>
      <c r="G1309" t="s">
        <v>17</v>
      </c>
      <c r="H1309" t="s">
        <v>43</v>
      </c>
      <c r="I1309" t="s">
        <v>44</v>
      </c>
      <c r="J1309" t="s">
        <v>742</v>
      </c>
      <c r="K1309" s="9">
        <v>43598</v>
      </c>
      <c r="L1309" s="10">
        <v>0.38541666666666669</v>
      </c>
      <c r="M1309" t="s">
        <v>1231</v>
      </c>
      <c r="N1309" t="s">
        <v>2222</v>
      </c>
      <c r="O1309" t="s">
        <v>22</v>
      </c>
    </row>
    <row r="1310" spans="1:15" hidden="1">
      <c r="A1310" t="s">
        <v>15</v>
      </c>
      <c r="B1310" t="str">
        <f>"FES1162689169"</f>
        <v>FES1162689169</v>
      </c>
      <c r="C1310" s="9">
        <v>43595</v>
      </c>
      <c r="D1310">
        <v>1</v>
      </c>
      <c r="E1310">
        <v>2170687728</v>
      </c>
      <c r="F1310" t="s">
        <v>16</v>
      </c>
      <c r="G1310" t="s">
        <v>17</v>
      </c>
      <c r="H1310" t="s">
        <v>43</v>
      </c>
      <c r="I1310" t="s">
        <v>75</v>
      </c>
      <c r="J1310" t="s">
        <v>2223</v>
      </c>
      <c r="K1310" s="9">
        <v>43598</v>
      </c>
      <c r="L1310" s="10">
        <v>0.4993055555555555</v>
      </c>
      <c r="M1310" t="s">
        <v>2224</v>
      </c>
      <c r="N1310" t="s">
        <v>2225</v>
      </c>
      <c r="O1310" t="s">
        <v>22</v>
      </c>
    </row>
    <row r="1311" spans="1:15" hidden="1">
      <c r="A1311" t="s">
        <v>15</v>
      </c>
      <c r="B1311" t="str">
        <f>"FES1162689271"</f>
        <v>FES1162689271</v>
      </c>
      <c r="C1311" s="9">
        <v>43595</v>
      </c>
      <c r="D1311">
        <v>1</v>
      </c>
      <c r="E1311">
        <v>2170687843</v>
      </c>
      <c r="F1311" t="s">
        <v>16</v>
      </c>
      <c r="G1311" t="s">
        <v>17</v>
      </c>
      <c r="H1311" t="s">
        <v>43</v>
      </c>
      <c r="I1311" t="s">
        <v>44</v>
      </c>
      <c r="J1311" t="s">
        <v>51</v>
      </c>
      <c r="K1311" s="9">
        <v>43598</v>
      </c>
      <c r="L1311" s="10">
        <v>0.34861111111111115</v>
      </c>
      <c r="M1311" t="s">
        <v>1394</v>
      </c>
      <c r="N1311" t="s">
        <v>2226</v>
      </c>
      <c r="O1311" t="s">
        <v>22</v>
      </c>
    </row>
    <row r="1312" spans="1:15">
      <c r="A1312" s="6" t="s">
        <v>15</v>
      </c>
      <c r="B1312" s="6" t="str">
        <f>"FES1162689238"</f>
        <v>FES1162689238</v>
      </c>
      <c r="C1312" s="7">
        <v>43595</v>
      </c>
      <c r="D1312" s="6">
        <v>1</v>
      </c>
      <c r="E1312" s="6">
        <v>2170687814</v>
      </c>
      <c r="F1312" s="6" t="s">
        <v>16</v>
      </c>
      <c r="G1312" s="6" t="s">
        <v>17</v>
      </c>
      <c r="H1312" s="6" t="s">
        <v>17</v>
      </c>
      <c r="I1312" s="6" t="s">
        <v>64</v>
      </c>
      <c r="J1312" s="6" t="s">
        <v>1098</v>
      </c>
      <c r="K1312" s="7">
        <v>43598</v>
      </c>
      <c r="L1312" s="8">
        <v>0.47986111111111113</v>
      </c>
      <c r="M1312" s="6" t="s">
        <v>1098</v>
      </c>
      <c r="N1312" s="6" t="s">
        <v>21</v>
      </c>
      <c r="O1312" s="6" t="s">
        <v>22</v>
      </c>
    </row>
    <row r="1313" spans="1:15">
      <c r="A1313" s="6" t="s">
        <v>15</v>
      </c>
      <c r="B1313" s="6" t="str">
        <f>"FES1162689236"</f>
        <v>FES1162689236</v>
      </c>
      <c r="C1313" s="7">
        <v>43595</v>
      </c>
      <c r="D1313" s="6">
        <v>1</v>
      </c>
      <c r="E1313" s="6">
        <v>2170687810</v>
      </c>
      <c r="F1313" s="6" t="s">
        <v>16</v>
      </c>
      <c r="G1313" s="6" t="s">
        <v>17</v>
      </c>
      <c r="H1313" s="6" t="s">
        <v>17</v>
      </c>
      <c r="I1313" s="6" t="s">
        <v>64</v>
      </c>
      <c r="J1313" s="6" t="s">
        <v>1098</v>
      </c>
      <c r="K1313" s="7">
        <v>43598</v>
      </c>
      <c r="L1313" s="8">
        <v>0.48125000000000001</v>
      </c>
      <c r="M1313" s="6" t="s">
        <v>1098</v>
      </c>
      <c r="N1313" s="6" t="s">
        <v>21</v>
      </c>
      <c r="O1313" s="6" t="s">
        <v>22</v>
      </c>
    </row>
    <row r="1314" spans="1:15">
      <c r="A1314" s="6" t="s">
        <v>15</v>
      </c>
      <c r="B1314" s="6" t="str">
        <f>"FES1162689231"</f>
        <v>FES1162689231</v>
      </c>
      <c r="C1314" s="7">
        <v>43595</v>
      </c>
      <c r="D1314" s="6">
        <v>1</v>
      </c>
      <c r="E1314" s="6">
        <v>2170687804</v>
      </c>
      <c r="F1314" s="6" t="s">
        <v>16</v>
      </c>
      <c r="G1314" s="6" t="s">
        <v>17</v>
      </c>
      <c r="H1314" s="6" t="s">
        <v>17</v>
      </c>
      <c r="I1314" s="6" t="s">
        <v>148</v>
      </c>
      <c r="J1314" s="6" t="s">
        <v>2227</v>
      </c>
      <c r="K1314" s="7">
        <v>43598</v>
      </c>
      <c r="L1314" s="8">
        <v>0.40972222222222227</v>
      </c>
      <c r="M1314" s="6" t="s">
        <v>2228</v>
      </c>
      <c r="N1314" s="6" t="s">
        <v>21</v>
      </c>
      <c r="O1314" s="6" t="s">
        <v>22</v>
      </c>
    </row>
    <row r="1315" spans="1:15">
      <c r="A1315" s="6" t="s">
        <v>15</v>
      </c>
      <c r="B1315" s="6" t="str">
        <f>"FES1162689246"</f>
        <v>FES1162689246</v>
      </c>
      <c r="C1315" s="7">
        <v>43595</v>
      </c>
      <c r="D1315" s="6">
        <v>1</v>
      </c>
      <c r="E1315" s="6">
        <v>2170687824</v>
      </c>
      <c r="F1315" s="6" t="s">
        <v>16</v>
      </c>
      <c r="G1315" s="6" t="s">
        <v>17</v>
      </c>
      <c r="H1315" s="6" t="s">
        <v>17</v>
      </c>
      <c r="I1315" s="6" t="s">
        <v>421</v>
      </c>
      <c r="J1315" s="6" t="s">
        <v>1535</v>
      </c>
      <c r="K1315" s="7">
        <v>43598</v>
      </c>
      <c r="L1315" s="8">
        <v>0.44305555555555554</v>
      </c>
      <c r="M1315" s="6" t="s">
        <v>2118</v>
      </c>
      <c r="N1315" s="6" t="s">
        <v>21</v>
      </c>
      <c r="O1315" s="6" t="s">
        <v>22</v>
      </c>
    </row>
    <row r="1316" spans="1:15">
      <c r="A1316" s="6" t="s">
        <v>15</v>
      </c>
      <c r="B1316" s="6" t="str">
        <f>"FES1162689205"</f>
        <v>FES1162689205</v>
      </c>
      <c r="C1316" s="7">
        <v>43595</v>
      </c>
      <c r="D1316" s="6">
        <v>1</v>
      </c>
      <c r="E1316" s="6">
        <v>217067767</v>
      </c>
      <c r="F1316" s="6" t="s">
        <v>16</v>
      </c>
      <c r="G1316" s="6" t="s">
        <v>17</v>
      </c>
      <c r="H1316" s="6" t="s">
        <v>17</v>
      </c>
      <c r="I1316" s="6" t="s">
        <v>64</v>
      </c>
      <c r="J1316" s="6" t="s">
        <v>509</v>
      </c>
      <c r="K1316" s="7">
        <v>43598</v>
      </c>
      <c r="L1316" s="8">
        <v>0.38472222222222219</v>
      </c>
      <c r="M1316" s="6" t="s">
        <v>692</v>
      </c>
      <c r="N1316" s="6" t="s">
        <v>21</v>
      </c>
      <c r="O1316" s="6" t="s">
        <v>22</v>
      </c>
    </row>
    <row r="1317" spans="1:15" hidden="1">
      <c r="A1317" t="s">
        <v>15</v>
      </c>
      <c r="B1317" t="str">
        <f>"FES1162689159"</f>
        <v>FES1162689159</v>
      </c>
      <c r="C1317" s="9">
        <v>43595</v>
      </c>
      <c r="D1317">
        <v>1</v>
      </c>
      <c r="E1317">
        <v>2170687655</v>
      </c>
      <c r="F1317" t="s">
        <v>16</v>
      </c>
      <c r="G1317" t="s">
        <v>17</v>
      </c>
      <c r="H1317" t="s">
        <v>141</v>
      </c>
      <c r="I1317" t="s">
        <v>142</v>
      </c>
      <c r="J1317" t="s">
        <v>228</v>
      </c>
      <c r="K1317" s="9">
        <v>43598</v>
      </c>
      <c r="L1317" s="10">
        <v>0.39652777777777781</v>
      </c>
      <c r="M1317" t="s">
        <v>1371</v>
      </c>
      <c r="N1317" t="s">
        <v>2229</v>
      </c>
      <c r="O1317" t="s">
        <v>22</v>
      </c>
    </row>
    <row r="1318" spans="1:15" hidden="1">
      <c r="A1318" t="s">
        <v>15</v>
      </c>
      <c r="B1318" t="str">
        <f>"FES1162689176"</f>
        <v>FES1162689176</v>
      </c>
      <c r="C1318" s="9">
        <v>43595</v>
      </c>
      <c r="D1318">
        <v>1</v>
      </c>
      <c r="E1318">
        <v>2170687739</v>
      </c>
      <c r="F1318" t="s">
        <v>16</v>
      </c>
      <c r="G1318" t="s">
        <v>17</v>
      </c>
      <c r="H1318" t="s">
        <v>132</v>
      </c>
      <c r="I1318" t="s">
        <v>838</v>
      </c>
      <c r="J1318" t="s">
        <v>839</v>
      </c>
      <c r="K1318" s="9">
        <v>43598</v>
      </c>
      <c r="L1318" s="10">
        <v>0.47916666666666669</v>
      </c>
      <c r="M1318" t="s">
        <v>839</v>
      </c>
      <c r="N1318" t="s">
        <v>2230</v>
      </c>
      <c r="O1318" t="s">
        <v>22</v>
      </c>
    </row>
    <row r="1319" spans="1:15" hidden="1">
      <c r="A1319" t="s">
        <v>15</v>
      </c>
      <c r="B1319" t="str">
        <f>"FES1162689158"</f>
        <v>FES1162689158</v>
      </c>
      <c r="C1319" s="9">
        <v>43595</v>
      </c>
      <c r="D1319">
        <v>1</v>
      </c>
      <c r="E1319">
        <v>2170686853</v>
      </c>
      <c r="F1319" t="s">
        <v>16</v>
      </c>
      <c r="G1319" t="s">
        <v>17</v>
      </c>
      <c r="H1319" t="s">
        <v>141</v>
      </c>
      <c r="I1319" t="s">
        <v>142</v>
      </c>
      <c r="J1319" t="s">
        <v>2204</v>
      </c>
      <c r="K1319" s="9">
        <v>43598</v>
      </c>
      <c r="L1319" s="10">
        <v>0.33055555555555555</v>
      </c>
      <c r="M1319" t="s">
        <v>2205</v>
      </c>
      <c r="N1319" t="s">
        <v>2231</v>
      </c>
      <c r="O1319" t="s">
        <v>22</v>
      </c>
    </row>
    <row r="1320" spans="1:15" hidden="1">
      <c r="A1320" t="s">
        <v>15</v>
      </c>
      <c r="B1320" t="str">
        <f>"FES1162689161"</f>
        <v>FES1162689161</v>
      </c>
      <c r="C1320" s="9">
        <v>43595</v>
      </c>
      <c r="D1320">
        <v>1</v>
      </c>
      <c r="E1320">
        <v>2170687716</v>
      </c>
      <c r="F1320" t="s">
        <v>16</v>
      </c>
      <c r="G1320" t="s">
        <v>17</v>
      </c>
      <c r="H1320" t="s">
        <v>141</v>
      </c>
      <c r="I1320" t="s">
        <v>142</v>
      </c>
      <c r="J1320" t="s">
        <v>2232</v>
      </c>
      <c r="K1320" s="9">
        <v>43598</v>
      </c>
      <c r="L1320" s="10">
        <v>0.35416666666666669</v>
      </c>
      <c r="M1320" t="s">
        <v>2233</v>
      </c>
      <c r="N1320" t="s">
        <v>2234</v>
      </c>
      <c r="O1320" t="s">
        <v>22</v>
      </c>
    </row>
    <row r="1321" spans="1:15" hidden="1">
      <c r="A1321" t="s">
        <v>15</v>
      </c>
      <c r="B1321" t="str">
        <f>"FES1162689153"</f>
        <v>FES1162689153</v>
      </c>
      <c r="C1321" s="9">
        <v>43595</v>
      </c>
      <c r="D1321">
        <v>1</v>
      </c>
      <c r="E1321">
        <v>217068369</v>
      </c>
      <c r="F1321" t="s">
        <v>16</v>
      </c>
      <c r="G1321" t="s">
        <v>17</v>
      </c>
      <c r="H1321" t="s">
        <v>141</v>
      </c>
      <c r="I1321" t="s">
        <v>142</v>
      </c>
      <c r="J1321" t="s">
        <v>213</v>
      </c>
      <c r="K1321" s="9">
        <v>43598</v>
      </c>
      <c r="L1321" s="10">
        <v>0.35625000000000001</v>
      </c>
      <c r="M1321" t="s">
        <v>214</v>
      </c>
      <c r="N1321" t="s">
        <v>2235</v>
      </c>
      <c r="O1321" t="s">
        <v>22</v>
      </c>
    </row>
    <row r="1322" spans="1:15">
      <c r="A1322" s="6" t="s">
        <v>15</v>
      </c>
      <c r="B1322" s="6" t="str">
        <f>"FES1162688839"</f>
        <v>FES1162688839</v>
      </c>
      <c r="C1322" s="7">
        <v>43595</v>
      </c>
      <c r="D1322" s="6">
        <v>1</v>
      </c>
      <c r="E1322" s="6">
        <v>217685724</v>
      </c>
      <c r="F1322" s="6" t="s">
        <v>16</v>
      </c>
      <c r="G1322" s="6" t="s">
        <v>17</v>
      </c>
      <c r="H1322" s="6" t="s">
        <v>17</v>
      </c>
      <c r="I1322" s="6" t="s">
        <v>64</v>
      </c>
      <c r="J1322" s="6" t="s">
        <v>2236</v>
      </c>
      <c r="K1322" s="7">
        <v>43598</v>
      </c>
      <c r="L1322" s="8">
        <v>0.36319444444444443</v>
      </c>
      <c r="M1322" s="6" t="s">
        <v>2237</v>
      </c>
      <c r="N1322" s="6" t="s">
        <v>21</v>
      </c>
      <c r="O1322" s="6" t="s">
        <v>22</v>
      </c>
    </row>
    <row r="1323" spans="1:15" hidden="1">
      <c r="A1323" t="s">
        <v>15</v>
      </c>
      <c r="B1323" t="str">
        <f>"FES1162689183"</f>
        <v>FES1162689183</v>
      </c>
      <c r="C1323" s="9">
        <v>43595</v>
      </c>
      <c r="D1323">
        <v>1</v>
      </c>
      <c r="E1323">
        <v>2170687745</v>
      </c>
      <c r="F1323" t="s">
        <v>16</v>
      </c>
      <c r="G1323" t="s">
        <v>17</v>
      </c>
      <c r="H1323" t="s">
        <v>141</v>
      </c>
      <c r="I1323" t="s">
        <v>142</v>
      </c>
      <c r="J1323" t="s">
        <v>1819</v>
      </c>
      <c r="K1323" s="9">
        <v>43598</v>
      </c>
      <c r="L1323" s="10">
        <v>0.38472222222222219</v>
      </c>
      <c r="M1323" t="s">
        <v>1820</v>
      </c>
      <c r="N1323" t="s">
        <v>2238</v>
      </c>
      <c r="O1323" t="s">
        <v>22</v>
      </c>
    </row>
    <row r="1324" spans="1:15" hidden="1">
      <c r="A1324" t="s">
        <v>15</v>
      </c>
      <c r="B1324" t="str">
        <f>"FES1162689297"</f>
        <v>FES1162689297</v>
      </c>
      <c r="C1324" s="9">
        <v>43595</v>
      </c>
      <c r="D1324">
        <v>1</v>
      </c>
      <c r="E1324">
        <v>2170687875</v>
      </c>
      <c r="F1324" t="s">
        <v>16</v>
      </c>
      <c r="G1324" t="s">
        <v>17</v>
      </c>
      <c r="H1324" t="s">
        <v>32</v>
      </c>
      <c r="I1324" t="s">
        <v>33</v>
      </c>
      <c r="J1324" t="s">
        <v>790</v>
      </c>
      <c r="K1324" s="9">
        <v>43598</v>
      </c>
      <c r="L1324" s="10">
        <v>0.33333333333333331</v>
      </c>
      <c r="M1324" t="s">
        <v>791</v>
      </c>
      <c r="N1324" t="s">
        <v>2239</v>
      </c>
      <c r="O1324" t="s">
        <v>22</v>
      </c>
    </row>
    <row r="1325" spans="1:15" hidden="1">
      <c r="A1325" t="s">
        <v>15</v>
      </c>
      <c r="B1325" t="str">
        <f>"FES1162689283"</f>
        <v>FES1162689283</v>
      </c>
      <c r="C1325" s="9">
        <v>43595</v>
      </c>
      <c r="D1325">
        <v>1</v>
      </c>
      <c r="E1325">
        <v>2170684648</v>
      </c>
      <c r="F1325" t="s">
        <v>16</v>
      </c>
      <c r="G1325" t="s">
        <v>17</v>
      </c>
      <c r="H1325" t="s">
        <v>32</v>
      </c>
      <c r="I1325" t="s">
        <v>33</v>
      </c>
      <c r="J1325" t="s">
        <v>284</v>
      </c>
      <c r="K1325" s="9">
        <v>43598</v>
      </c>
      <c r="L1325" s="10">
        <v>0.33680555555555558</v>
      </c>
      <c r="M1325" t="s">
        <v>2240</v>
      </c>
      <c r="N1325" t="s">
        <v>2241</v>
      </c>
      <c r="O1325" t="s">
        <v>22</v>
      </c>
    </row>
    <row r="1326" spans="1:15" hidden="1">
      <c r="A1326" t="s">
        <v>15</v>
      </c>
      <c r="B1326" t="str">
        <f>"FES1162689115"</f>
        <v>FES1162689115</v>
      </c>
      <c r="C1326" s="9">
        <v>43595</v>
      </c>
      <c r="D1326">
        <v>1</v>
      </c>
      <c r="E1326">
        <v>2170687695</v>
      </c>
      <c r="F1326" t="s">
        <v>16</v>
      </c>
      <c r="G1326" t="s">
        <v>17</v>
      </c>
      <c r="H1326" t="s">
        <v>43</v>
      </c>
      <c r="I1326" t="s">
        <v>44</v>
      </c>
      <c r="J1326" t="s">
        <v>2242</v>
      </c>
      <c r="K1326" s="9">
        <v>43598</v>
      </c>
      <c r="L1326" s="10">
        <v>0.37291666666666662</v>
      </c>
      <c r="M1326" t="s">
        <v>2243</v>
      </c>
      <c r="N1326" t="s">
        <v>2244</v>
      </c>
      <c r="O1326" t="s">
        <v>22</v>
      </c>
    </row>
    <row r="1327" spans="1:15" hidden="1">
      <c r="A1327" t="s">
        <v>15</v>
      </c>
      <c r="B1327" t="str">
        <f>"FES1162688751"</f>
        <v>FES1162688751</v>
      </c>
      <c r="C1327" s="9">
        <v>43595</v>
      </c>
      <c r="D1327">
        <v>1</v>
      </c>
      <c r="E1327">
        <v>2170687463</v>
      </c>
      <c r="F1327" t="s">
        <v>16</v>
      </c>
      <c r="G1327" t="s">
        <v>17</v>
      </c>
      <c r="H1327" t="s">
        <v>43</v>
      </c>
      <c r="I1327" t="s">
        <v>44</v>
      </c>
      <c r="J1327" t="s">
        <v>51</v>
      </c>
      <c r="K1327" s="9">
        <v>43598</v>
      </c>
      <c r="L1327" s="10">
        <v>0.34930555555555554</v>
      </c>
      <c r="M1327" t="s">
        <v>1394</v>
      </c>
      <c r="N1327" t="s">
        <v>2245</v>
      </c>
      <c r="O1327" t="s">
        <v>22</v>
      </c>
    </row>
    <row r="1328" spans="1:15">
      <c r="A1328" s="6" t="s">
        <v>15</v>
      </c>
      <c r="B1328" s="6" t="str">
        <f>"FES1162689270"</f>
        <v>FES1162689270</v>
      </c>
      <c r="C1328" s="7">
        <v>43595</v>
      </c>
      <c r="D1328" s="6">
        <v>1</v>
      </c>
      <c r="E1328" s="6">
        <v>2170687841</v>
      </c>
      <c r="F1328" s="6" t="s">
        <v>16</v>
      </c>
      <c r="G1328" s="6" t="s">
        <v>17</v>
      </c>
      <c r="H1328" s="6" t="s">
        <v>17</v>
      </c>
      <c r="I1328" s="6" t="s">
        <v>610</v>
      </c>
      <c r="J1328" s="6" t="s">
        <v>2046</v>
      </c>
      <c r="K1328" s="7">
        <v>43598</v>
      </c>
      <c r="L1328" s="8">
        <v>0.42986111111111108</v>
      </c>
      <c r="M1328" s="6" t="s">
        <v>2047</v>
      </c>
      <c r="N1328" s="6" t="s">
        <v>21</v>
      </c>
      <c r="O1328" s="6" t="s">
        <v>22</v>
      </c>
    </row>
    <row r="1329" spans="1:15" hidden="1">
      <c r="A1329" t="s">
        <v>15</v>
      </c>
      <c r="B1329" t="str">
        <f>"FES1162689068"</f>
        <v>FES1162689068</v>
      </c>
      <c r="C1329" s="9">
        <v>43595</v>
      </c>
      <c r="D1329">
        <v>1</v>
      </c>
      <c r="E1329">
        <v>217068659</v>
      </c>
      <c r="F1329" t="s">
        <v>16</v>
      </c>
      <c r="G1329" t="s">
        <v>17</v>
      </c>
      <c r="H1329" t="s">
        <v>43</v>
      </c>
      <c r="I1329" t="s">
        <v>44</v>
      </c>
      <c r="J1329" t="s">
        <v>51</v>
      </c>
      <c r="K1329" s="9">
        <v>43598</v>
      </c>
      <c r="L1329" s="10">
        <v>0.34861111111111115</v>
      </c>
      <c r="M1329" t="s">
        <v>1394</v>
      </c>
      <c r="N1329" t="s">
        <v>2246</v>
      </c>
      <c r="O1329" t="s">
        <v>22</v>
      </c>
    </row>
    <row r="1330" spans="1:15" hidden="1">
      <c r="A1330" t="s">
        <v>15</v>
      </c>
      <c r="B1330" t="str">
        <f>"FES1162689066"</f>
        <v>FES1162689066</v>
      </c>
      <c r="C1330" s="9">
        <v>43595</v>
      </c>
      <c r="D1330">
        <v>1</v>
      </c>
      <c r="E1330">
        <v>2170687651</v>
      </c>
      <c r="F1330" t="s">
        <v>16</v>
      </c>
      <c r="G1330" t="s">
        <v>17</v>
      </c>
      <c r="H1330" t="s">
        <v>43</v>
      </c>
      <c r="I1330" t="s">
        <v>44</v>
      </c>
      <c r="J1330" t="s">
        <v>48</v>
      </c>
      <c r="K1330" s="9">
        <v>43598</v>
      </c>
      <c r="L1330" s="10">
        <v>0.33749999999999997</v>
      </c>
      <c r="M1330" t="s">
        <v>2087</v>
      </c>
      <c r="N1330" t="s">
        <v>2247</v>
      </c>
      <c r="O1330" t="s">
        <v>22</v>
      </c>
    </row>
    <row r="1331" spans="1:15" hidden="1">
      <c r="A1331" t="s">
        <v>15</v>
      </c>
      <c r="B1331" t="str">
        <f>"FES1162688910"</f>
        <v>FES1162688910</v>
      </c>
      <c r="C1331" s="9">
        <v>43595</v>
      </c>
      <c r="D1331">
        <v>1</v>
      </c>
      <c r="E1331">
        <v>2170687219</v>
      </c>
      <c r="F1331" t="s">
        <v>16</v>
      </c>
      <c r="G1331" t="s">
        <v>17</v>
      </c>
      <c r="H1331" t="s">
        <v>290</v>
      </c>
      <c r="I1331" t="s">
        <v>291</v>
      </c>
      <c r="J1331" t="s">
        <v>1744</v>
      </c>
      <c r="K1331" s="9">
        <v>43598</v>
      </c>
      <c r="L1331" s="10">
        <v>0.34583333333333338</v>
      </c>
      <c r="M1331" t="s">
        <v>2248</v>
      </c>
      <c r="N1331" t="s">
        <v>2249</v>
      </c>
      <c r="O1331" t="s">
        <v>22</v>
      </c>
    </row>
    <row r="1332" spans="1:15">
      <c r="A1332" s="6" t="s">
        <v>15</v>
      </c>
      <c r="B1332" s="6" t="str">
        <f>"FES1162689172"</f>
        <v>FES1162689172</v>
      </c>
      <c r="C1332" s="7">
        <v>43595</v>
      </c>
      <c r="D1332" s="6">
        <v>1</v>
      </c>
      <c r="E1332" s="6">
        <v>2170687733</v>
      </c>
      <c r="F1332" s="6" t="s">
        <v>16</v>
      </c>
      <c r="G1332" s="6" t="s">
        <v>17</v>
      </c>
      <c r="H1332" s="6" t="s">
        <v>17</v>
      </c>
      <c r="I1332" s="6" t="s">
        <v>64</v>
      </c>
      <c r="J1332" s="6" t="s">
        <v>724</v>
      </c>
      <c r="K1332" s="7">
        <v>43598</v>
      </c>
      <c r="L1332" s="8">
        <v>0.36458333333333331</v>
      </c>
      <c r="M1332" s="6" t="s">
        <v>725</v>
      </c>
      <c r="N1332" s="6" t="s">
        <v>21</v>
      </c>
      <c r="O1332" s="6" t="s">
        <v>22</v>
      </c>
    </row>
    <row r="1333" spans="1:15" hidden="1">
      <c r="A1333" t="s">
        <v>15</v>
      </c>
      <c r="B1333" t="str">
        <f>"FES1162689198"</f>
        <v>FES1162689198</v>
      </c>
      <c r="C1333" s="9">
        <v>43595</v>
      </c>
      <c r="D1333">
        <v>1</v>
      </c>
      <c r="E1333">
        <v>2170684833</v>
      </c>
      <c r="F1333" t="s">
        <v>16</v>
      </c>
      <c r="G1333" t="s">
        <v>17</v>
      </c>
      <c r="H1333" t="s">
        <v>290</v>
      </c>
      <c r="I1333" t="s">
        <v>601</v>
      </c>
      <c r="J1333" t="s">
        <v>602</v>
      </c>
      <c r="K1333" s="9">
        <v>43598</v>
      </c>
      <c r="L1333" s="10">
        <v>0.60069444444444442</v>
      </c>
      <c r="M1333" t="s">
        <v>1830</v>
      </c>
      <c r="N1333" t="s">
        <v>2250</v>
      </c>
      <c r="O1333" t="s">
        <v>22</v>
      </c>
    </row>
    <row r="1334" spans="1:15" hidden="1">
      <c r="A1334" t="s">
        <v>15</v>
      </c>
      <c r="B1334" t="str">
        <f>"FES1162689272"</f>
        <v>FES1162689272</v>
      </c>
      <c r="C1334" s="9">
        <v>43595</v>
      </c>
      <c r="D1334">
        <v>1</v>
      </c>
      <c r="E1334">
        <v>2170687844</v>
      </c>
      <c r="F1334" t="s">
        <v>16</v>
      </c>
      <c r="G1334" t="s">
        <v>17</v>
      </c>
      <c r="H1334" t="s">
        <v>132</v>
      </c>
      <c r="I1334" t="s">
        <v>133</v>
      </c>
      <c r="J1334" t="s">
        <v>2251</v>
      </c>
      <c r="K1334" s="9">
        <v>43598</v>
      </c>
      <c r="L1334" s="10">
        <v>0.40138888888888885</v>
      </c>
      <c r="M1334" t="s">
        <v>2252</v>
      </c>
      <c r="N1334" t="s">
        <v>2253</v>
      </c>
      <c r="O1334" t="s">
        <v>22</v>
      </c>
    </row>
    <row r="1335" spans="1:15" hidden="1">
      <c r="A1335" t="s">
        <v>15</v>
      </c>
      <c r="B1335" t="str">
        <f>"FES1162689232"</f>
        <v>FES1162689232</v>
      </c>
      <c r="C1335" s="9">
        <v>43595</v>
      </c>
      <c r="D1335">
        <v>1</v>
      </c>
      <c r="E1335">
        <v>2170687807</v>
      </c>
      <c r="F1335" t="s">
        <v>16</v>
      </c>
      <c r="G1335" t="s">
        <v>17</v>
      </c>
      <c r="H1335" t="s">
        <v>141</v>
      </c>
      <c r="I1335" t="s">
        <v>142</v>
      </c>
      <c r="J1335" t="s">
        <v>864</v>
      </c>
      <c r="K1335" s="9">
        <v>43598</v>
      </c>
      <c r="L1335" s="10">
        <v>0.34513888888888888</v>
      </c>
      <c r="M1335" t="s">
        <v>2254</v>
      </c>
      <c r="N1335" t="s">
        <v>2255</v>
      </c>
      <c r="O1335" t="s">
        <v>22</v>
      </c>
    </row>
    <row r="1336" spans="1:15" hidden="1">
      <c r="A1336" t="s">
        <v>15</v>
      </c>
      <c r="B1336" t="str">
        <f>"FES1162689263"</f>
        <v>FES1162689263</v>
      </c>
      <c r="C1336" s="9">
        <v>43595</v>
      </c>
      <c r="D1336">
        <v>1</v>
      </c>
      <c r="E1336">
        <v>2170687834</v>
      </c>
      <c r="F1336" t="s">
        <v>16</v>
      </c>
      <c r="G1336" t="s">
        <v>17</v>
      </c>
      <c r="H1336" t="s">
        <v>290</v>
      </c>
      <c r="I1336" t="s">
        <v>291</v>
      </c>
      <c r="J1336" t="s">
        <v>1744</v>
      </c>
      <c r="K1336" s="9">
        <v>43598</v>
      </c>
      <c r="L1336" s="10">
        <v>0.3444444444444445</v>
      </c>
      <c r="M1336" t="s">
        <v>2256</v>
      </c>
      <c r="N1336" t="s">
        <v>2257</v>
      </c>
      <c r="O1336" t="s">
        <v>22</v>
      </c>
    </row>
    <row r="1337" spans="1:15" hidden="1">
      <c r="A1337" t="s">
        <v>15</v>
      </c>
      <c r="B1337" t="str">
        <f>"FES1162689225"</f>
        <v>FES1162689225</v>
      </c>
      <c r="C1337" s="9">
        <v>43595</v>
      </c>
      <c r="D1337">
        <v>1</v>
      </c>
      <c r="E1337">
        <v>2170687763</v>
      </c>
      <c r="F1337" t="s">
        <v>16</v>
      </c>
      <c r="G1337" t="s">
        <v>17</v>
      </c>
      <c r="H1337" t="s">
        <v>132</v>
      </c>
      <c r="I1337" t="s">
        <v>133</v>
      </c>
      <c r="J1337" t="s">
        <v>238</v>
      </c>
      <c r="K1337" s="9">
        <v>43598</v>
      </c>
      <c r="L1337" s="10">
        <v>0.33333333333333331</v>
      </c>
      <c r="M1337" t="s">
        <v>2098</v>
      </c>
      <c r="N1337" t="s">
        <v>2258</v>
      </c>
      <c r="O1337" t="s">
        <v>22</v>
      </c>
    </row>
    <row r="1338" spans="1:15" hidden="1">
      <c r="A1338" t="s">
        <v>15</v>
      </c>
      <c r="B1338" t="str">
        <f>"FES1162688783"</f>
        <v>FES1162688783</v>
      </c>
      <c r="C1338" s="9">
        <v>43595</v>
      </c>
      <c r="D1338">
        <v>1</v>
      </c>
      <c r="E1338">
        <v>2170687219</v>
      </c>
      <c r="F1338" t="s">
        <v>16</v>
      </c>
      <c r="G1338" t="s">
        <v>17</v>
      </c>
      <c r="H1338" t="s">
        <v>290</v>
      </c>
      <c r="I1338" t="s">
        <v>291</v>
      </c>
      <c r="J1338" t="s">
        <v>1744</v>
      </c>
      <c r="K1338" s="9">
        <v>43598</v>
      </c>
      <c r="L1338" s="10">
        <v>0.34583333333333338</v>
      </c>
      <c r="M1338" t="s">
        <v>2248</v>
      </c>
      <c r="N1338" t="s">
        <v>2259</v>
      </c>
      <c r="O1338" t="s">
        <v>22</v>
      </c>
    </row>
    <row r="1339" spans="1:15" hidden="1">
      <c r="A1339" t="s">
        <v>15</v>
      </c>
      <c r="B1339" t="str">
        <f>"FES1162689230"</f>
        <v>FES1162689230</v>
      </c>
      <c r="C1339" s="9">
        <v>43595</v>
      </c>
      <c r="D1339">
        <v>1</v>
      </c>
      <c r="E1339">
        <v>217687801</v>
      </c>
      <c r="F1339" t="s">
        <v>16</v>
      </c>
      <c r="G1339" t="s">
        <v>17</v>
      </c>
      <c r="H1339" t="s">
        <v>141</v>
      </c>
      <c r="I1339" t="s">
        <v>142</v>
      </c>
      <c r="J1339" t="s">
        <v>195</v>
      </c>
      <c r="K1339" s="9">
        <v>43598</v>
      </c>
      <c r="L1339" s="10">
        <v>0.29097222222222224</v>
      </c>
      <c r="M1339" t="s">
        <v>588</v>
      </c>
      <c r="N1339" t="s">
        <v>2260</v>
      </c>
      <c r="O1339" t="s">
        <v>22</v>
      </c>
    </row>
    <row r="1340" spans="1:15" hidden="1">
      <c r="A1340" t="s">
        <v>15</v>
      </c>
      <c r="B1340" t="str">
        <f>"FES1162689007"</f>
        <v>FES1162689007</v>
      </c>
      <c r="C1340" s="9">
        <v>43595</v>
      </c>
      <c r="D1340">
        <v>1</v>
      </c>
      <c r="E1340">
        <v>2170376201</v>
      </c>
      <c r="F1340" t="s">
        <v>16</v>
      </c>
      <c r="G1340" t="s">
        <v>17</v>
      </c>
      <c r="H1340" t="s">
        <v>300</v>
      </c>
      <c r="I1340" t="s">
        <v>301</v>
      </c>
      <c r="J1340" t="s">
        <v>506</v>
      </c>
      <c r="K1340" s="9">
        <v>43598</v>
      </c>
      <c r="L1340" s="10">
        <v>0.3923611111111111</v>
      </c>
      <c r="M1340" t="s">
        <v>1310</v>
      </c>
      <c r="N1340" t="s">
        <v>2261</v>
      </c>
      <c r="O1340" t="s">
        <v>22</v>
      </c>
    </row>
    <row r="1341" spans="1:15" hidden="1">
      <c r="A1341" t="s">
        <v>15</v>
      </c>
      <c r="B1341" t="str">
        <f>"FES1162688894"</f>
        <v>FES1162688894</v>
      </c>
      <c r="C1341" s="9">
        <v>43595</v>
      </c>
      <c r="D1341">
        <v>1</v>
      </c>
      <c r="E1341">
        <v>2170686277</v>
      </c>
      <c r="F1341" t="s">
        <v>16</v>
      </c>
      <c r="G1341" t="s">
        <v>17</v>
      </c>
      <c r="H1341" t="s">
        <v>290</v>
      </c>
      <c r="I1341" t="s">
        <v>291</v>
      </c>
      <c r="J1341" t="s">
        <v>1744</v>
      </c>
      <c r="K1341" s="9">
        <v>43598</v>
      </c>
      <c r="L1341" s="10">
        <v>0.34583333333333338</v>
      </c>
      <c r="M1341" t="s">
        <v>2248</v>
      </c>
      <c r="N1341" t="s">
        <v>2262</v>
      </c>
      <c r="O1341" t="s">
        <v>22</v>
      </c>
    </row>
    <row r="1342" spans="1:15" hidden="1">
      <c r="A1342" t="s">
        <v>15</v>
      </c>
      <c r="B1342" t="str">
        <f>"FES1162689032"</f>
        <v>FES1162689032</v>
      </c>
      <c r="C1342" s="9">
        <v>43595</v>
      </c>
      <c r="D1342">
        <v>1</v>
      </c>
      <c r="E1342">
        <v>2170687614</v>
      </c>
      <c r="F1342" t="s">
        <v>16</v>
      </c>
      <c r="G1342" t="s">
        <v>17</v>
      </c>
      <c r="H1342" t="s">
        <v>1711</v>
      </c>
      <c r="I1342" t="s">
        <v>2263</v>
      </c>
      <c r="J1342" t="s">
        <v>2264</v>
      </c>
      <c r="K1342" s="9">
        <v>43598</v>
      </c>
      <c r="L1342" s="10">
        <v>0.42222222222222222</v>
      </c>
      <c r="M1342" t="s">
        <v>2265</v>
      </c>
      <c r="N1342" t="s">
        <v>2266</v>
      </c>
      <c r="O1342" t="s">
        <v>22</v>
      </c>
    </row>
    <row r="1343" spans="1:15" hidden="1">
      <c r="A1343" t="s">
        <v>15</v>
      </c>
      <c r="B1343" t="str">
        <f>"FES1162689288"</f>
        <v>FES1162689288</v>
      </c>
      <c r="C1343" s="9">
        <v>43595</v>
      </c>
      <c r="D1343">
        <v>1</v>
      </c>
      <c r="E1343">
        <v>2170687866</v>
      </c>
      <c r="F1343" t="s">
        <v>16</v>
      </c>
      <c r="G1343" t="s">
        <v>17</v>
      </c>
      <c r="H1343" t="s">
        <v>43</v>
      </c>
      <c r="I1343" t="s">
        <v>44</v>
      </c>
      <c r="J1343" t="s">
        <v>48</v>
      </c>
      <c r="K1343" s="9">
        <v>43598</v>
      </c>
      <c r="L1343" s="10">
        <v>0.33749999999999997</v>
      </c>
      <c r="M1343" t="s">
        <v>2087</v>
      </c>
      <c r="N1343" t="s">
        <v>2267</v>
      </c>
      <c r="O1343" t="s">
        <v>22</v>
      </c>
    </row>
    <row r="1344" spans="1:15">
      <c r="A1344" s="6" t="s">
        <v>15</v>
      </c>
      <c r="B1344" s="6" t="str">
        <f>"FES1162689261"</f>
        <v>FES1162689261</v>
      </c>
      <c r="C1344" s="7">
        <v>43595</v>
      </c>
      <c r="D1344" s="6">
        <v>1</v>
      </c>
      <c r="E1344" s="6">
        <v>2170687831</v>
      </c>
      <c r="F1344" s="6" t="s">
        <v>16</v>
      </c>
      <c r="G1344" s="6" t="s">
        <v>17</v>
      </c>
      <c r="H1344" s="6" t="s">
        <v>17</v>
      </c>
      <c r="I1344" s="6" t="s">
        <v>18</v>
      </c>
      <c r="J1344" s="6" t="s">
        <v>581</v>
      </c>
      <c r="K1344" s="7">
        <v>43598</v>
      </c>
      <c r="L1344" s="8">
        <v>0.38958333333333334</v>
      </c>
      <c r="M1344" s="6" t="s">
        <v>2268</v>
      </c>
      <c r="N1344" s="6" t="s">
        <v>21</v>
      </c>
      <c r="O1344" s="6" t="s">
        <v>22</v>
      </c>
    </row>
    <row r="1345" spans="1:15" hidden="1">
      <c r="A1345" t="s">
        <v>15</v>
      </c>
      <c r="B1345" t="str">
        <f>"FES1162689065"</f>
        <v>FES1162689065</v>
      </c>
      <c r="C1345" s="9">
        <v>43595</v>
      </c>
      <c r="D1345">
        <v>1</v>
      </c>
      <c r="E1345">
        <v>2170687650</v>
      </c>
      <c r="F1345" t="s">
        <v>16</v>
      </c>
      <c r="G1345" t="s">
        <v>17</v>
      </c>
      <c r="H1345" t="s">
        <v>43</v>
      </c>
      <c r="I1345" t="s">
        <v>44</v>
      </c>
      <c r="J1345" t="s">
        <v>207</v>
      </c>
      <c r="K1345" s="9">
        <v>43598</v>
      </c>
      <c r="L1345" s="10">
        <v>0.41666666666666669</v>
      </c>
      <c r="M1345" t="s">
        <v>1789</v>
      </c>
      <c r="N1345" t="s">
        <v>2269</v>
      </c>
      <c r="O1345" t="s">
        <v>22</v>
      </c>
    </row>
    <row r="1346" spans="1:15" hidden="1">
      <c r="A1346" t="s">
        <v>15</v>
      </c>
      <c r="B1346" t="str">
        <f>"FES1162689248"</f>
        <v>FES1162689248</v>
      </c>
      <c r="C1346" s="9">
        <v>43595</v>
      </c>
      <c r="D1346">
        <v>1</v>
      </c>
      <c r="E1346">
        <v>2170687092</v>
      </c>
      <c r="F1346" t="s">
        <v>16</v>
      </c>
      <c r="G1346" t="s">
        <v>17</v>
      </c>
      <c r="H1346" t="s">
        <v>43</v>
      </c>
      <c r="I1346" t="s">
        <v>54</v>
      </c>
      <c r="J1346" t="s">
        <v>216</v>
      </c>
      <c r="K1346" s="9">
        <v>43598</v>
      </c>
      <c r="L1346" s="10">
        <v>0.41666666666666669</v>
      </c>
      <c r="M1346" t="s">
        <v>1443</v>
      </c>
      <c r="N1346" t="s">
        <v>2270</v>
      </c>
      <c r="O1346" t="s">
        <v>22</v>
      </c>
    </row>
    <row r="1347" spans="1:15" hidden="1">
      <c r="A1347" t="s">
        <v>15</v>
      </c>
      <c r="B1347" t="str">
        <f>"FES1162689256"</f>
        <v>FES1162689256</v>
      </c>
      <c r="C1347" s="9">
        <v>43595</v>
      </c>
      <c r="D1347">
        <v>1</v>
      </c>
      <c r="E1347">
        <v>2170687089</v>
      </c>
      <c r="F1347" t="s">
        <v>16</v>
      </c>
      <c r="G1347" t="s">
        <v>17</v>
      </c>
      <c r="H1347" t="s">
        <v>43</v>
      </c>
      <c r="I1347" t="s">
        <v>54</v>
      </c>
      <c r="J1347" t="s">
        <v>216</v>
      </c>
      <c r="K1347" s="9">
        <v>43598</v>
      </c>
      <c r="L1347" s="10">
        <v>0.41666666666666669</v>
      </c>
      <c r="M1347" t="s">
        <v>1443</v>
      </c>
      <c r="N1347" t="s">
        <v>2271</v>
      </c>
      <c r="O1347" t="s">
        <v>22</v>
      </c>
    </row>
    <row r="1348" spans="1:15" hidden="1">
      <c r="A1348" t="s">
        <v>15</v>
      </c>
      <c r="B1348" t="str">
        <f>"FES1162689249"</f>
        <v>FES1162689249</v>
      </c>
      <c r="C1348" s="9">
        <v>43595</v>
      </c>
      <c r="D1348">
        <v>1</v>
      </c>
      <c r="E1348">
        <v>2170687107</v>
      </c>
      <c r="F1348" t="s">
        <v>16</v>
      </c>
      <c r="G1348" t="s">
        <v>17</v>
      </c>
      <c r="H1348" t="s">
        <v>43</v>
      </c>
      <c r="I1348" t="s">
        <v>54</v>
      </c>
      <c r="J1348" t="s">
        <v>216</v>
      </c>
      <c r="K1348" s="9">
        <v>43598</v>
      </c>
      <c r="L1348" s="10">
        <v>0.41666666666666669</v>
      </c>
      <c r="M1348" t="s">
        <v>1443</v>
      </c>
      <c r="N1348" t="s">
        <v>2272</v>
      </c>
      <c r="O1348" t="s">
        <v>22</v>
      </c>
    </row>
    <row r="1349" spans="1:15" hidden="1">
      <c r="A1349" t="s">
        <v>15</v>
      </c>
      <c r="B1349" t="str">
        <f>"FES1162689255"</f>
        <v>FES1162689255</v>
      </c>
      <c r="C1349" s="9">
        <v>43595</v>
      </c>
      <c r="D1349">
        <v>1</v>
      </c>
      <c r="E1349">
        <v>2170687088</v>
      </c>
      <c r="F1349" t="s">
        <v>16</v>
      </c>
      <c r="G1349" t="s">
        <v>17</v>
      </c>
      <c r="H1349" t="s">
        <v>43</v>
      </c>
      <c r="I1349" t="s">
        <v>54</v>
      </c>
      <c r="J1349" t="s">
        <v>216</v>
      </c>
      <c r="K1349" s="9">
        <v>43598</v>
      </c>
      <c r="L1349" s="10">
        <v>0.41666666666666669</v>
      </c>
      <c r="M1349" t="s">
        <v>1443</v>
      </c>
      <c r="N1349" t="s">
        <v>2273</v>
      </c>
      <c r="O1349" t="s">
        <v>22</v>
      </c>
    </row>
    <row r="1350" spans="1:15" hidden="1">
      <c r="A1350" t="s">
        <v>15</v>
      </c>
      <c r="B1350" t="str">
        <f>"FES1162689257"</f>
        <v>FES1162689257</v>
      </c>
      <c r="C1350" s="9">
        <v>43595</v>
      </c>
      <c r="D1350">
        <v>1</v>
      </c>
      <c r="E1350">
        <v>2170687110</v>
      </c>
      <c r="F1350" t="s">
        <v>16</v>
      </c>
      <c r="G1350" t="s">
        <v>17</v>
      </c>
      <c r="H1350" t="s">
        <v>43</v>
      </c>
      <c r="I1350" t="s">
        <v>54</v>
      </c>
      <c r="J1350" t="s">
        <v>216</v>
      </c>
      <c r="K1350" s="9">
        <v>43598</v>
      </c>
      <c r="L1350" s="10">
        <v>0.41666666666666669</v>
      </c>
      <c r="M1350" t="s">
        <v>1443</v>
      </c>
      <c r="N1350" t="s">
        <v>2274</v>
      </c>
      <c r="O1350" t="s">
        <v>22</v>
      </c>
    </row>
    <row r="1351" spans="1:15">
      <c r="A1351" s="6" t="s">
        <v>15</v>
      </c>
      <c r="B1351" s="6" t="str">
        <f>"FES1162689265"</f>
        <v>FES1162689265</v>
      </c>
      <c r="C1351" s="7">
        <v>43595</v>
      </c>
      <c r="D1351" s="6">
        <v>1</v>
      </c>
      <c r="E1351" s="6">
        <v>2170687837</v>
      </c>
      <c r="F1351" s="6" t="s">
        <v>16</v>
      </c>
      <c r="G1351" s="6" t="s">
        <v>17</v>
      </c>
      <c r="H1351" s="6" t="s">
        <v>17</v>
      </c>
      <c r="I1351" s="6" t="s">
        <v>421</v>
      </c>
      <c r="J1351" s="6" t="s">
        <v>885</v>
      </c>
      <c r="K1351" s="7">
        <v>43598</v>
      </c>
      <c r="L1351" s="8">
        <v>0.33333333333333331</v>
      </c>
      <c r="M1351" s="6" t="s">
        <v>2275</v>
      </c>
      <c r="N1351" s="6" t="s">
        <v>21</v>
      </c>
      <c r="O1351" s="6" t="s">
        <v>22</v>
      </c>
    </row>
    <row r="1352" spans="1:15">
      <c r="A1352" s="6" t="s">
        <v>15</v>
      </c>
      <c r="B1352" s="6" t="str">
        <f>"FES1162689242"</f>
        <v>FES1162689242</v>
      </c>
      <c r="C1352" s="7">
        <v>43595</v>
      </c>
      <c r="D1352" s="6">
        <v>1</v>
      </c>
      <c r="E1352" s="6">
        <v>2170687465</v>
      </c>
      <c r="F1352" s="6" t="s">
        <v>16</v>
      </c>
      <c r="G1352" s="6" t="s">
        <v>17</v>
      </c>
      <c r="H1352" s="6" t="s">
        <v>17</v>
      </c>
      <c r="I1352" s="6" t="s">
        <v>1376</v>
      </c>
      <c r="J1352" s="6" t="s">
        <v>2276</v>
      </c>
      <c r="K1352" s="7">
        <v>43598</v>
      </c>
      <c r="L1352" s="8">
        <v>0.41041666666666665</v>
      </c>
      <c r="M1352" s="6" t="s">
        <v>2277</v>
      </c>
      <c r="N1352" s="6" t="s">
        <v>21</v>
      </c>
      <c r="O1352" s="6" t="s">
        <v>22</v>
      </c>
    </row>
    <row r="1353" spans="1:15">
      <c r="A1353" s="6" t="s">
        <v>15</v>
      </c>
      <c r="B1353" s="6" t="str">
        <f>"FES1162689240"</f>
        <v>FES1162689240</v>
      </c>
      <c r="C1353" s="7">
        <v>43595</v>
      </c>
      <c r="D1353" s="6">
        <v>1</v>
      </c>
      <c r="E1353" s="6">
        <v>2170687097</v>
      </c>
      <c r="F1353" s="6" t="s">
        <v>16</v>
      </c>
      <c r="G1353" s="6" t="s">
        <v>17</v>
      </c>
      <c r="H1353" s="6" t="s">
        <v>17</v>
      </c>
      <c r="I1353" s="6" t="s">
        <v>103</v>
      </c>
      <c r="J1353" s="6" t="s">
        <v>1493</v>
      </c>
      <c r="K1353" s="7">
        <v>43598</v>
      </c>
      <c r="L1353" s="8">
        <v>0.30069444444444443</v>
      </c>
      <c r="M1353" s="6" t="s">
        <v>2278</v>
      </c>
      <c r="N1353" s="6" t="s">
        <v>21</v>
      </c>
      <c r="O1353" s="6" t="s">
        <v>22</v>
      </c>
    </row>
    <row r="1354" spans="1:15" hidden="1">
      <c r="A1354" t="s">
        <v>15</v>
      </c>
      <c r="B1354" t="str">
        <f>"FES1162688946"</f>
        <v>FES1162688946</v>
      </c>
      <c r="C1354" s="9">
        <v>43595</v>
      </c>
      <c r="D1354">
        <v>1</v>
      </c>
      <c r="E1354">
        <v>2170685404</v>
      </c>
      <c r="F1354" t="s">
        <v>16</v>
      </c>
      <c r="G1354" t="s">
        <v>17</v>
      </c>
      <c r="H1354" t="s">
        <v>43</v>
      </c>
      <c r="I1354" t="s">
        <v>44</v>
      </c>
      <c r="J1354" t="s">
        <v>1074</v>
      </c>
      <c r="K1354" s="9">
        <v>43598</v>
      </c>
      <c r="L1354" s="10">
        <v>0.41666666666666669</v>
      </c>
      <c r="M1354" t="s">
        <v>1962</v>
      </c>
      <c r="N1354" t="s">
        <v>2279</v>
      </c>
      <c r="O1354" t="s">
        <v>22</v>
      </c>
    </row>
    <row r="1355" spans="1:15" hidden="1">
      <c r="A1355" t="s">
        <v>15</v>
      </c>
      <c r="B1355" t="str">
        <f>"FES1162689250"</f>
        <v>FES1162689250</v>
      </c>
      <c r="C1355" s="9">
        <v>43595</v>
      </c>
      <c r="D1355">
        <v>1</v>
      </c>
      <c r="E1355">
        <v>2170687322</v>
      </c>
      <c r="F1355" t="s">
        <v>16</v>
      </c>
      <c r="G1355" t="s">
        <v>17</v>
      </c>
      <c r="H1355" t="s">
        <v>43</v>
      </c>
      <c r="I1355" t="s">
        <v>44</v>
      </c>
      <c r="J1355" t="s">
        <v>2280</v>
      </c>
      <c r="K1355" s="9">
        <v>43598</v>
      </c>
      <c r="L1355" s="10">
        <v>0.41666666666666669</v>
      </c>
      <c r="M1355" t="s">
        <v>2281</v>
      </c>
      <c r="N1355" t="s">
        <v>2282</v>
      </c>
      <c r="O1355" t="s">
        <v>22</v>
      </c>
    </row>
    <row r="1356" spans="1:15" hidden="1">
      <c r="A1356" t="s">
        <v>15</v>
      </c>
      <c r="B1356" t="str">
        <f>"FES1162689253"</f>
        <v>FES1162689253</v>
      </c>
      <c r="C1356" s="9">
        <v>43595</v>
      </c>
      <c r="D1356">
        <v>1</v>
      </c>
      <c r="E1356">
        <v>2170687828</v>
      </c>
      <c r="F1356" t="s">
        <v>16</v>
      </c>
      <c r="G1356" t="s">
        <v>17</v>
      </c>
      <c r="H1356" t="s">
        <v>43</v>
      </c>
      <c r="I1356" t="s">
        <v>75</v>
      </c>
      <c r="J1356" t="s">
        <v>1874</v>
      </c>
      <c r="K1356" s="9">
        <v>43598</v>
      </c>
      <c r="L1356" s="10">
        <v>0.50277777777777777</v>
      </c>
      <c r="M1356" t="s">
        <v>1875</v>
      </c>
      <c r="N1356" t="s">
        <v>2283</v>
      </c>
      <c r="O1356" t="s">
        <v>22</v>
      </c>
    </row>
    <row r="1357" spans="1:15" hidden="1">
      <c r="A1357" t="s">
        <v>15</v>
      </c>
      <c r="B1357" t="str">
        <f>"FES1162689204"</f>
        <v>FES1162689204</v>
      </c>
      <c r="C1357" s="9">
        <v>43595</v>
      </c>
      <c r="D1357">
        <v>1</v>
      </c>
      <c r="E1357">
        <v>2170687766</v>
      </c>
      <c r="F1357" t="s">
        <v>16</v>
      </c>
      <c r="G1357" t="s">
        <v>17</v>
      </c>
      <c r="H1357" t="s">
        <v>43</v>
      </c>
      <c r="I1357" t="s">
        <v>44</v>
      </c>
      <c r="J1357" t="s">
        <v>2284</v>
      </c>
      <c r="K1357" s="9">
        <v>43598</v>
      </c>
      <c r="L1357" s="10">
        <v>0.46666666666666662</v>
      </c>
      <c r="M1357" t="s">
        <v>2285</v>
      </c>
      <c r="N1357" t="s">
        <v>2286</v>
      </c>
      <c r="O1357" t="s">
        <v>22</v>
      </c>
    </row>
    <row r="1358" spans="1:15" hidden="1">
      <c r="A1358" t="s">
        <v>15</v>
      </c>
      <c r="B1358" t="str">
        <f>"FES1162689239"</f>
        <v>FES1162689239</v>
      </c>
      <c r="C1358" s="9">
        <v>43595</v>
      </c>
      <c r="D1358">
        <v>1</v>
      </c>
      <c r="E1358">
        <v>2170687818</v>
      </c>
      <c r="F1358" t="s">
        <v>16</v>
      </c>
      <c r="G1358" t="s">
        <v>17</v>
      </c>
      <c r="H1358" t="s">
        <v>43</v>
      </c>
      <c r="I1358" t="s">
        <v>60</v>
      </c>
      <c r="J1358" t="s">
        <v>242</v>
      </c>
      <c r="K1358" s="9">
        <v>43599</v>
      </c>
      <c r="L1358" s="10">
        <v>0.52361111111111114</v>
      </c>
      <c r="M1358" t="s">
        <v>1445</v>
      </c>
      <c r="N1358" t="s">
        <v>2287</v>
      </c>
      <c r="O1358" t="s">
        <v>22</v>
      </c>
    </row>
    <row r="1359" spans="1:15" hidden="1">
      <c r="A1359" t="s">
        <v>15</v>
      </c>
      <c r="B1359" t="str">
        <f>"FES1162689235"</f>
        <v>FES1162689235</v>
      </c>
      <c r="C1359" s="9">
        <v>43595</v>
      </c>
      <c r="D1359">
        <v>1</v>
      </c>
      <c r="E1359">
        <v>2170687809</v>
      </c>
      <c r="F1359" t="s">
        <v>16</v>
      </c>
      <c r="G1359" t="s">
        <v>17</v>
      </c>
      <c r="H1359" t="s">
        <v>43</v>
      </c>
      <c r="I1359" t="s">
        <v>44</v>
      </c>
      <c r="J1359" t="s">
        <v>48</v>
      </c>
      <c r="K1359" s="9">
        <v>43598</v>
      </c>
      <c r="L1359" s="10">
        <v>0.33749999999999997</v>
      </c>
      <c r="M1359" t="s">
        <v>2087</v>
      </c>
      <c r="N1359" t="s">
        <v>2288</v>
      </c>
      <c r="O1359" t="s">
        <v>22</v>
      </c>
    </row>
    <row r="1360" spans="1:15" hidden="1">
      <c r="A1360" t="s">
        <v>15</v>
      </c>
      <c r="B1360" t="str">
        <f>"FES1162689252"</f>
        <v>FES1162689252</v>
      </c>
      <c r="C1360" s="9">
        <v>43595</v>
      </c>
      <c r="D1360">
        <v>1</v>
      </c>
      <c r="E1360">
        <v>2170687827</v>
      </c>
      <c r="F1360" t="s">
        <v>16</v>
      </c>
      <c r="G1360" t="s">
        <v>17</v>
      </c>
      <c r="H1360" t="s">
        <v>43</v>
      </c>
      <c r="I1360" t="s">
        <v>44</v>
      </c>
      <c r="J1360" t="s">
        <v>48</v>
      </c>
      <c r="K1360" s="9">
        <v>43598</v>
      </c>
      <c r="L1360" s="10">
        <v>0.33749999999999997</v>
      </c>
      <c r="M1360" t="s">
        <v>2087</v>
      </c>
      <c r="N1360" t="s">
        <v>2289</v>
      </c>
      <c r="O1360" t="s">
        <v>22</v>
      </c>
    </row>
    <row r="1361" spans="1:15" hidden="1">
      <c r="A1361" t="s">
        <v>15</v>
      </c>
      <c r="B1361" t="str">
        <f>"FES1162689163"</f>
        <v>FES1162689163</v>
      </c>
      <c r="C1361" s="9">
        <v>43595</v>
      </c>
      <c r="D1361">
        <v>1</v>
      </c>
      <c r="E1361">
        <v>2170687718</v>
      </c>
      <c r="F1361" t="s">
        <v>16</v>
      </c>
      <c r="G1361" t="s">
        <v>17</v>
      </c>
      <c r="H1361" t="s">
        <v>43</v>
      </c>
      <c r="I1361" t="s">
        <v>75</v>
      </c>
      <c r="J1361" t="s">
        <v>222</v>
      </c>
      <c r="K1361" s="9">
        <v>43598</v>
      </c>
      <c r="L1361" s="10">
        <v>0.47916666666666669</v>
      </c>
      <c r="M1361" t="s">
        <v>223</v>
      </c>
      <c r="N1361" t="s">
        <v>2290</v>
      </c>
      <c r="O1361" t="s">
        <v>22</v>
      </c>
    </row>
    <row r="1362" spans="1:15" hidden="1">
      <c r="A1362" t="s">
        <v>15</v>
      </c>
      <c r="B1362" t="str">
        <f>"FES1162689219"</f>
        <v>FES1162689219</v>
      </c>
      <c r="C1362" s="9">
        <v>43595</v>
      </c>
      <c r="D1362">
        <v>1</v>
      </c>
      <c r="E1362">
        <v>2170687784</v>
      </c>
      <c r="F1362" t="s">
        <v>16</v>
      </c>
      <c r="G1362" t="s">
        <v>17</v>
      </c>
      <c r="H1362" t="s">
        <v>43</v>
      </c>
      <c r="I1362" t="s">
        <v>738</v>
      </c>
      <c r="J1362" t="s">
        <v>339</v>
      </c>
      <c r="K1362" s="9">
        <v>43598</v>
      </c>
      <c r="L1362" s="10">
        <v>0.41666666666666669</v>
      </c>
      <c r="M1362" t="s">
        <v>1483</v>
      </c>
      <c r="N1362" t="s">
        <v>2291</v>
      </c>
      <c r="O1362" t="s">
        <v>22</v>
      </c>
    </row>
    <row r="1363" spans="1:15" hidden="1">
      <c r="A1363" t="s">
        <v>15</v>
      </c>
      <c r="B1363" t="str">
        <f>"FES1162689186"</f>
        <v>FES1162689186</v>
      </c>
      <c r="C1363" s="9">
        <v>43595</v>
      </c>
      <c r="D1363">
        <v>1</v>
      </c>
      <c r="E1363">
        <v>2170687749</v>
      </c>
      <c r="F1363" t="s">
        <v>16</v>
      </c>
      <c r="G1363" t="s">
        <v>17</v>
      </c>
      <c r="H1363" t="s">
        <v>425</v>
      </c>
      <c r="I1363" t="s">
        <v>426</v>
      </c>
      <c r="J1363" t="s">
        <v>783</v>
      </c>
      <c r="K1363" s="9">
        <v>43598</v>
      </c>
      <c r="L1363" s="10">
        <v>0.39374999999999999</v>
      </c>
      <c r="M1363" t="s">
        <v>784</v>
      </c>
      <c r="N1363" t="s">
        <v>2292</v>
      </c>
      <c r="O1363" t="s">
        <v>22</v>
      </c>
    </row>
    <row r="1364" spans="1:15">
      <c r="A1364" s="6" t="s">
        <v>15</v>
      </c>
      <c r="B1364" s="6" t="str">
        <f>"FES1162689286"</f>
        <v>FES1162689286</v>
      </c>
      <c r="C1364" s="7">
        <v>43595</v>
      </c>
      <c r="D1364" s="6">
        <v>1</v>
      </c>
      <c r="E1364" s="6">
        <v>2170687864</v>
      </c>
      <c r="F1364" s="6" t="s">
        <v>16</v>
      </c>
      <c r="G1364" s="6" t="s">
        <v>17</v>
      </c>
      <c r="H1364" s="6" t="s">
        <v>17</v>
      </c>
      <c r="I1364" s="6" t="s">
        <v>23</v>
      </c>
      <c r="J1364" s="6" t="s">
        <v>914</v>
      </c>
      <c r="K1364" s="7">
        <v>43598</v>
      </c>
      <c r="L1364" s="8">
        <v>0.38611111111111113</v>
      </c>
      <c r="M1364" s="6" t="s">
        <v>915</v>
      </c>
      <c r="N1364" s="6" t="s">
        <v>21</v>
      </c>
      <c r="O1364" s="6" t="s">
        <v>22</v>
      </c>
    </row>
    <row r="1365" spans="1:15" hidden="1">
      <c r="A1365" t="s">
        <v>15</v>
      </c>
      <c r="B1365" t="str">
        <f>"FES1162689294"</f>
        <v>FES1162689294</v>
      </c>
      <c r="C1365" s="9">
        <v>43595</v>
      </c>
      <c r="D1365">
        <v>1</v>
      </c>
      <c r="E1365">
        <v>2170687872</v>
      </c>
      <c r="F1365" t="s">
        <v>16</v>
      </c>
      <c r="G1365" t="s">
        <v>17</v>
      </c>
      <c r="H1365" t="s">
        <v>43</v>
      </c>
      <c r="I1365" t="s">
        <v>44</v>
      </c>
      <c r="J1365" t="s">
        <v>1524</v>
      </c>
      <c r="K1365" s="9">
        <v>43598</v>
      </c>
      <c r="L1365" s="10">
        <v>0.41666666666666669</v>
      </c>
      <c r="M1365" t="s">
        <v>2293</v>
      </c>
      <c r="N1365" t="s">
        <v>2294</v>
      </c>
      <c r="O1365" t="s">
        <v>22</v>
      </c>
    </row>
    <row r="1366" spans="1:15" hidden="1">
      <c r="A1366" t="s">
        <v>15</v>
      </c>
      <c r="B1366" t="str">
        <f>"FES1162689167"</f>
        <v>FES1162689167</v>
      </c>
      <c r="C1366" s="9">
        <v>43595</v>
      </c>
      <c r="D1366">
        <v>1</v>
      </c>
      <c r="E1366">
        <v>2170687723</v>
      </c>
      <c r="F1366" t="s">
        <v>16</v>
      </c>
      <c r="G1366" t="s">
        <v>17</v>
      </c>
      <c r="H1366" t="s">
        <v>43</v>
      </c>
      <c r="I1366" t="s">
        <v>44</v>
      </c>
      <c r="J1366" t="s">
        <v>207</v>
      </c>
      <c r="K1366" s="9">
        <v>43598</v>
      </c>
      <c r="L1366" s="10">
        <v>0.41666666666666669</v>
      </c>
      <c r="M1366" t="s">
        <v>1789</v>
      </c>
      <c r="N1366" t="s">
        <v>2295</v>
      </c>
      <c r="O1366" t="s">
        <v>22</v>
      </c>
    </row>
    <row r="1367" spans="1:15" hidden="1">
      <c r="A1367" t="s">
        <v>15</v>
      </c>
      <c r="B1367" t="str">
        <f>"FES1162689155"</f>
        <v>FES1162689155</v>
      </c>
      <c r="C1367" s="9">
        <v>43595</v>
      </c>
      <c r="D1367">
        <v>1</v>
      </c>
      <c r="E1367">
        <v>2170686489</v>
      </c>
      <c r="F1367" t="s">
        <v>16</v>
      </c>
      <c r="G1367" t="s">
        <v>17</v>
      </c>
      <c r="H1367" t="s">
        <v>43</v>
      </c>
      <c r="I1367" t="s">
        <v>44</v>
      </c>
      <c r="J1367" t="s">
        <v>128</v>
      </c>
      <c r="K1367" s="9">
        <v>43598</v>
      </c>
      <c r="L1367" s="10">
        <v>0.37291666666666662</v>
      </c>
      <c r="M1367" t="s">
        <v>361</v>
      </c>
      <c r="N1367" t="s">
        <v>2296</v>
      </c>
      <c r="O1367" t="s">
        <v>22</v>
      </c>
    </row>
    <row r="1368" spans="1:15" hidden="1">
      <c r="A1368" t="s">
        <v>15</v>
      </c>
      <c r="B1368" t="str">
        <f>"FES1162689148"</f>
        <v>FES1162689148</v>
      </c>
      <c r="C1368" s="9">
        <v>43595</v>
      </c>
      <c r="D1368">
        <v>1</v>
      </c>
      <c r="E1368">
        <v>2170686173</v>
      </c>
      <c r="F1368" t="s">
        <v>16</v>
      </c>
      <c r="G1368" t="s">
        <v>17</v>
      </c>
      <c r="H1368" t="s">
        <v>43</v>
      </c>
      <c r="I1368" t="s">
        <v>44</v>
      </c>
      <c r="J1368" t="s">
        <v>51</v>
      </c>
      <c r="K1368" s="9">
        <v>43598</v>
      </c>
      <c r="L1368" s="10">
        <v>0.34791666666666665</v>
      </c>
      <c r="M1368" t="s">
        <v>1394</v>
      </c>
      <c r="N1368" t="s">
        <v>2297</v>
      </c>
      <c r="O1368" t="s">
        <v>22</v>
      </c>
    </row>
    <row r="1369" spans="1:15" hidden="1">
      <c r="A1369" t="s">
        <v>15</v>
      </c>
      <c r="B1369" t="str">
        <f>"FES1162688881"</f>
        <v>FES1162688881</v>
      </c>
      <c r="C1369" s="9">
        <v>43595</v>
      </c>
      <c r="D1369">
        <v>1</v>
      </c>
      <c r="E1369">
        <v>2170686115</v>
      </c>
      <c r="F1369" t="s">
        <v>16</v>
      </c>
      <c r="G1369" t="s">
        <v>17</v>
      </c>
      <c r="H1369" t="s">
        <v>290</v>
      </c>
      <c r="I1369" t="s">
        <v>601</v>
      </c>
      <c r="J1369" t="s">
        <v>602</v>
      </c>
      <c r="K1369" s="9">
        <v>43598</v>
      </c>
      <c r="L1369" s="10">
        <v>0.60069444444444442</v>
      </c>
      <c r="M1369" t="s">
        <v>1830</v>
      </c>
      <c r="N1369" t="s">
        <v>2298</v>
      </c>
      <c r="O1369" t="s">
        <v>22</v>
      </c>
    </row>
    <row r="1370" spans="1:15" hidden="1">
      <c r="A1370" t="s">
        <v>15</v>
      </c>
      <c r="B1370" t="str">
        <f>"FES1162689168"</f>
        <v>FES1162689168</v>
      </c>
      <c r="C1370" s="9">
        <v>43595</v>
      </c>
      <c r="D1370">
        <v>1</v>
      </c>
      <c r="E1370">
        <v>2170687725</v>
      </c>
      <c r="F1370" t="s">
        <v>16</v>
      </c>
      <c r="G1370" t="s">
        <v>17</v>
      </c>
      <c r="H1370" t="s">
        <v>43</v>
      </c>
      <c r="I1370" t="s">
        <v>44</v>
      </c>
      <c r="J1370" t="s">
        <v>128</v>
      </c>
      <c r="K1370" s="9">
        <v>43598</v>
      </c>
      <c r="L1370" s="10">
        <v>0.37291666666666662</v>
      </c>
      <c r="M1370" t="s">
        <v>361</v>
      </c>
      <c r="N1370" t="s">
        <v>2299</v>
      </c>
      <c r="O1370" t="s">
        <v>22</v>
      </c>
    </row>
    <row r="1371" spans="1:15">
      <c r="A1371" s="6" t="s">
        <v>15</v>
      </c>
      <c r="B1371" s="6" t="str">
        <f>"FES1162689281"</f>
        <v>FES1162689281</v>
      </c>
      <c r="C1371" s="7">
        <v>43595</v>
      </c>
      <c r="D1371" s="6">
        <v>1</v>
      </c>
      <c r="E1371" s="6">
        <v>2170687858</v>
      </c>
      <c r="F1371" s="6" t="s">
        <v>16</v>
      </c>
      <c r="G1371" s="6" t="s">
        <v>17</v>
      </c>
      <c r="H1371" s="6" t="s">
        <v>17</v>
      </c>
      <c r="I1371" s="6" t="s">
        <v>23</v>
      </c>
      <c r="J1371" s="6" t="s">
        <v>1154</v>
      </c>
      <c r="K1371" s="7">
        <v>43598</v>
      </c>
      <c r="L1371" s="8">
        <v>0.28541666666666665</v>
      </c>
      <c r="M1371" s="6" t="s">
        <v>2300</v>
      </c>
      <c r="N1371" s="6" t="s">
        <v>21</v>
      </c>
      <c r="O1371" s="6" t="s">
        <v>22</v>
      </c>
    </row>
    <row r="1372" spans="1:15">
      <c r="A1372" s="6" t="s">
        <v>15</v>
      </c>
      <c r="B1372" s="6" t="str">
        <f>"FES1162689277"</f>
        <v>FES1162689277</v>
      </c>
      <c r="C1372" s="7">
        <v>43595</v>
      </c>
      <c r="D1372" s="6">
        <v>1</v>
      </c>
      <c r="E1372" s="6">
        <v>2170687852</v>
      </c>
      <c r="F1372" s="6" t="s">
        <v>16</v>
      </c>
      <c r="G1372" s="6" t="s">
        <v>17</v>
      </c>
      <c r="H1372" s="6" t="s">
        <v>17</v>
      </c>
      <c r="I1372" s="6" t="s">
        <v>64</v>
      </c>
      <c r="J1372" s="6" t="s">
        <v>2301</v>
      </c>
      <c r="K1372" s="7">
        <v>43598</v>
      </c>
      <c r="L1372" s="8">
        <v>0.36319444444444443</v>
      </c>
      <c r="M1372" s="6" t="s">
        <v>56</v>
      </c>
      <c r="N1372" s="6" t="s">
        <v>21</v>
      </c>
      <c r="O1372" s="6" t="s">
        <v>22</v>
      </c>
    </row>
    <row r="1373" spans="1:15" hidden="1">
      <c r="A1373" t="s">
        <v>15</v>
      </c>
      <c r="B1373" t="str">
        <f>"FES1162689196"</f>
        <v>FES1162689196</v>
      </c>
      <c r="C1373" s="9">
        <v>43595</v>
      </c>
      <c r="D1373">
        <v>1</v>
      </c>
      <c r="E1373">
        <v>2170687760</v>
      </c>
      <c r="F1373" t="s">
        <v>16</v>
      </c>
      <c r="G1373" t="s">
        <v>17</v>
      </c>
      <c r="H1373" t="s">
        <v>43</v>
      </c>
      <c r="I1373" t="s">
        <v>54</v>
      </c>
      <c r="J1373" t="s">
        <v>216</v>
      </c>
      <c r="K1373" s="9">
        <v>43598</v>
      </c>
      <c r="L1373" s="10">
        <v>0.41666666666666669</v>
      </c>
      <c r="M1373" t="s">
        <v>1443</v>
      </c>
      <c r="N1373" t="s">
        <v>2302</v>
      </c>
      <c r="O1373" t="s">
        <v>22</v>
      </c>
    </row>
    <row r="1374" spans="1:15" hidden="1">
      <c r="A1374" t="s">
        <v>15</v>
      </c>
      <c r="B1374" t="str">
        <f>"FES1162689289"</f>
        <v>FES1162689289</v>
      </c>
      <c r="C1374" s="9">
        <v>43595</v>
      </c>
      <c r="D1374">
        <v>1</v>
      </c>
      <c r="E1374">
        <v>2170687867</v>
      </c>
      <c r="F1374" t="s">
        <v>16</v>
      </c>
      <c r="G1374" t="s">
        <v>17</v>
      </c>
      <c r="H1374" t="s">
        <v>43</v>
      </c>
      <c r="I1374" t="s">
        <v>44</v>
      </c>
      <c r="J1374" t="s">
        <v>48</v>
      </c>
      <c r="K1374" s="9">
        <v>43598</v>
      </c>
      <c r="L1374" s="10">
        <v>0.33749999999999997</v>
      </c>
      <c r="M1374" t="s">
        <v>2087</v>
      </c>
      <c r="N1374" t="s">
        <v>2303</v>
      </c>
      <c r="O1374" t="s">
        <v>22</v>
      </c>
    </row>
    <row r="1375" spans="1:15" hidden="1">
      <c r="A1375" t="s">
        <v>15</v>
      </c>
      <c r="B1375" t="str">
        <f>"FES1162689276"</f>
        <v>FES1162689276</v>
      </c>
      <c r="C1375" s="9">
        <v>43595</v>
      </c>
      <c r="D1375">
        <v>1</v>
      </c>
      <c r="E1375">
        <v>2170687851</v>
      </c>
      <c r="F1375" t="s">
        <v>16</v>
      </c>
      <c r="G1375" t="s">
        <v>17</v>
      </c>
      <c r="H1375" t="s">
        <v>290</v>
      </c>
      <c r="I1375" t="s">
        <v>291</v>
      </c>
      <c r="J1375" t="s">
        <v>966</v>
      </c>
      <c r="K1375" s="9">
        <v>43598</v>
      </c>
      <c r="L1375" s="10">
        <v>0.3611111111111111</v>
      </c>
      <c r="M1375" t="s">
        <v>2304</v>
      </c>
      <c r="N1375" t="s">
        <v>2305</v>
      </c>
      <c r="O1375" t="s">
        <v>22</v>
      </c>
    </row>
    <row r="1376" spans="1:15" hidden="1">
      <c r="A1376" t="s">
        <v>15</v>
      </c>
      <c r="B1376" t="str">
        <f>"FES1162689202"</f>
        <v>FES1162689202</v>
      </c>
      <c r="C1376" s="9">
        <v>43595</v>
      </c>
      <c r="D1376">
        <v>1</v>
      </c>
      <c r="E1376">
        <v>2170687761</v>
      </c>
      <c r="F1376" t="s">
        <v>16</v>
      </c>
      <c r="G1376" t="s">
        <v>17</v>
      </c>
      <c r="H1376" t="s">
        <v>43</v>
      </c>
      <c r="I1376" t="s">
        <v>44</v>
      </c>
      <c r="J1376" t="s">
        <v>173</v>
      </c>
      <c r="K1376" s="9">
        <v>43598</v>
      </c>
      <c r="L1376" s="10">
        <v>0.32569444444444445</v>
      </c>
      <c r="M1376" t="s">
        <v>174</v>
      </c>
      <c r="N1376" t="s">
        <v>2306</v>
      </c>
      <c r="O1376" t="s">
        <v>22</v>
      </c>
    </row>
    <row r="1377" spans="1:15" hidden="1">
      <c r="A1377" t="s">
        <v>15</v>
      </c>
      <c r="B1377" t="str">
        <f>"FES1162688996"</f>
        <v>FES1162688996</v>
      </c>
      <c r="C1377" s="9">
        <v>43595</v>
      </c>
      <c r="D1377">
        <v>1</v>
      </c>
      <c r="E1377">
        <v>2170685879</v>
      </c>
      <c r="F1377" t="s">
        <v>16</v>
      </c>
      <c r="G1377" t="s">
        <v>17</v>
      </c>
      <c r="H1377" t="s">
        <v>290</v>
      </c>
      <c r="I1377" t="s">
        <v>291</v>
      </c>
      <c r="J1377" t="s">
        <v>297</v>
      </c>
      <c r="K1377" s="9">
        <v>43598</v>
      </c>
      <c r="L1377" s="10">
        <v>0.41180555555555554</v>
      </c>
      <c r="M1377" t="s">
        <v>298</v>
      </c>
      <c r="N1377" t="s">
        <v>2307</v>
      </c>
      <c r="O1377" t="s">
        <v>22</v>
      </c>
    </row>
    <row r="1378" spans="1:15" hidden="1">
      <c r="A1378" t="s">
        <v>15</v>
      </c>
      <c r="B1378" t="str">
        <f>"FES1162688954"</f>
        <v>FES1162688954</v>
      </c>
      <c r="C1378" s="9">
        <v>43595</v>
      </c>
      <c r="D1378">
        <v>1</v>
      </c>
      <c r="E1378">
        <v>21706878687</v>
      </c>
      <c r="F1378" t="s">
        <v>16</v>
      </c>
      <c r="G1378" t="s">
        <v>17</v>
      </c>
      <c r="H1378" t="s">
        <v>290</v>
      </c>
      <c r="I1378" t="s">
        <v>291</v>
      </c>
      <c r="J1378" t="s">
        <v>1744</v>
      </c>
      <c r="K1378" s="9">
        <v>43598</v>
      </c>
      <c r="L1378" s="10">
        <v>0.34583333333333338</v>
      </c>
      <c r="M1378" t="s">
        <v>2248</v>
      </c>
      <c r="N1378" t="s">
        <v>2308</v>
      </c>
      <c r="O1378" t="s">
        <v>22</v>
      </c>
    </row>
    <row r="1379" spans="1:15" hidden="1">
      <c r="A1379" t="s">
        <v>15</v>
      </c>
      <c r="B1379" t="str">
        <f>"FES1162689295"</f>
        <v>FES1162689295</v>
      </c>
      <c r="C1379" s="9">
        <v>43595</v>
      </c>
      <c r="D1379">
        <v>1</v>
      </c>
      <c r="E1379">
        <v>2170686988</v>
      </c>
      <c r="F1379" t="s">
        <v>16</v>
      </c>
      <c r="G1379" t="s">
        <v>17</v>
      </c>
      <c r="H1379" t="s">
        <v>32</v>
      </c>
      <c r="I1379" t="s">
        <v>33</v>
      </c>
      <c r="J1379" t="s">
        <v>34</v>
      </c>
      <c r="K1379" s="9">
        <v>43598</v>
      </c>
      <c r="L1379" s="10">
        <v>0.33333333333333331</v>
      </c>
      <c r="M1379" t="s">
        <v>35</v>
      </c>
      <c r="N1379" t="s">
        <v>2309</v>
      </c>
      <c r="O1379" t="s">
        <v>22</v>
      </c>
    </row>
    <row r="1380" spans="1:15" hidden="1">
      <c r="A1380" t="s">
        <v>15</v>
      </c>
      <c r="B1380" t="str">
        <f>"FES1162689243"</f>
        <v>FES1162689243</v>
      </c>
      <c r="C1380" s="9">
        <v>43595</v>
      </c>
      <c r="D1380">
        <v>1</v>
      </c>
      <c r="E1380">
        <v>2170687821</v>
      </c>
      <c r="F1380" t="s">
        <v>16</v>
      </c>
      <c r="G1380" t="s">
        <v>17</v>
      </c>
      <c r="H1380" t="s">
        <v>141</v>
      </c>
      <c r="I1380" t="s">
        <v>142</v>
      </c>
      <c r="J1380" t="s">
        <v>864</v>
      </c>
      <c r="K1380" s="9">
        <v>43598</v>
      </c>
      <c r="L1380" s="10">
        <v>0.34513888888888888</v>
      </c>
      <c r="M1380" t="s">
        <v>2254</v>
      </c>
      <c r="N1380" t="s">
        <v>2310</v>
      </c>
      <c r="O1380" t="s">
        <v>22</v>
      </c>
    </row>
    <row r="1381" spans="1:15" hidden="1">
      <c r="A1381" t="s">
        <v>15</v>
      </c>
      <c r="B1381" t="str">
        <f>"FES1162689107"</f>
        <v>FES1162689107</v>
      </c>
      <c r="C1381" s="9">
        <v>43595</v>
      </c>
      <c r="D1381">
        <v>1</v>
      </c>
      <c r="E1381">
        <v>2170687688</v>
      </c>
      <c r="F1381" t="s">
        <v>16</v>
      </c>
      <c r="G1381" t="s">
        <v>17</v>
      </c>
      <c r="H1381" t="s">
        <v>290</v>
      </c>
      <c r="I1381" t="s">
        <v>291</v>
      </c>
      <c r="J1381" t="s">
        <v>294</v>
      </c>
      <c r="K1381" s="9">
        <v>43598</v>
      </c>
      <c r="L1381" s="10">
        <v>0.30555555555555552</v>
      </c>
      <c r="M1381" t="s">
        <v>2311</v>
      </c>
      <c r="N1381" t="s">
        <v>2312</v>
      </c>
      <c r="O1381" t="s">
        <v>22</v>
      </c>
    </row>
    <row r="1382" spans="1:15" hidden="1">
      <c r="A1382" t="s">
        <v>15</v>
      </c>
      <c r="B1382" t="str">
        <f>"FES1162688592"</f>
        <v>FES1162688592</v>
      </c>
      <c r="C1382" s="9">
        <v>43595</v>
      </c>
      <c r="D1382">
        <v>1</v>
      </c>
      <c r="E1382">
        <v>2170686975</v>
      </c>
      <c r="F1382" t="s">
        <v>16</v>
      </c>
      <c r="G1382" t="s">
        <v>17</v>
      </c>
      <c r="H1382" t="s">
        <v>141</v>
      </c>
      <c r="I1382" t="s">
        <v>142</v>
      </c>
      <c r="J1382" t="s">
        <v>2313</v>
      </c>
      <c r="K1382" s="9">
        <v>43598</v>
      </c>
      <c r="L1382" s="10">
        <v>0.42499999999999999</v>
      </c>
      <c r="M1382" t="s">
        <v>2314</v>
      </c>
      <c r="N1382" t="s">
        <v>2315</v>
      </c>
      <c r="O1382" t="s">
        <v>22</v>
      </c>
    </row>
    <row r="1383" spans="1:15" hidden="1">
      <c r="A1383" t="s">
        <v>15</v>
      </c>
      <c r="B1383" t="str">
        <f>"FES1162689212"</f>
        <v>FES1162689212</v>
      </c>
      <c r="C1383" s="9">
        <v>43595</v>
      </c>
      <c r="D1383">
        <v>1</v>
      </c>
      <c r="E1383">
        <v>2170687774</v>
      </c>
      <c r="F1383" t="s">
        <v>16</v>
      </c>
      <c r="G1383" t="s">
        <v>17</v>
      </c>
      <c r="H1383" t="s">
        <v>141</v>
      </c>
      <c r="I1383" t="s">
        <v>142</v>
      </c>
      <c r="J1383" t="s">
        <v>213</v>
      </c>
      <c r="K1383" s="9">
        <v>43598</v>
      </c>
      <c r="L1383" s="10">
        <v>0.35625000000000001</v>
      </c>
      <c r="M1383" t="s">
        <v>214</v>
      </c>
      <c r="N1383" t="s">
        <v>2316</v>
      </c>
      <c r="O1383" t="s">
        <v>22</v>
      </c>
    </row>
    <row r="1384" spans="1:15" hidden="1">
      <c r="A1384" t="s">
        <v>15</v>
      </c>
      <c r="B1384" t="str">
        <f>"FES1162688340"</f>
        <v>FES1162688340</v>
      </c>
      <c r="C1384" s="9">
        <v>43595</v>
      </c>
      <c r="D1384">
        <v>1</v>
      </c>
      <c r="E1384">
        <v>2170686301</v>
      </c>
      <c r="F1384" t="s">
        <v>16</v>
      </c>
      <c r="G1384" t="s">
        <v>17</v>
      </c>
      <c r="H1384" t="s">
        <v>141</v>
      </c>
      <c r="I1384" t="s">
        <v>458</v>
      </c>
      <c r="J1384" t="s">
        <v>459</v>
      </c>
      <c r="K1384" s="9">
        <v>43598</v>
      </c>
      <c r="L1384" s="10">
        <v>0.34513888888888888</v>
      </c>
      <c r="M1384" t="s">
        <v>2254</v>
      </c>
      <c r="N1384" t="s">
        <v>2317</v>
      </c>
      <c r="O1384" t="s">
        <v>22</v>
      </c>
    </row>
    <row r="1385" spans="1:15" hidden="1">
      <c r="A1385" t="s">
        <v>15</v>
      </c>
      <c r="B1385" t="str">
        <f>"FES1162689050"</f>
        <v>FES1162689050</v>
      </c>
      <c r="C1385" s="9">
        <v>43595</v>
      </c>
      <c r="D1385">
        <v>1</v>
      </c>
      <c r="E1385">
        <v>2170687631</v>
      </c>
      <c r="F1385" t="s">
        <v>16</v>
      </c>
      <c r="G1385" t="s">
        <v>17</v>
      </c>
      <c r="H1385" t="s">
        <v>425</v>
      </c>
      <c r="I1385" t="s">
        <v>771</v>
      </c>
      <c r="J1385" t="s">
        <v>772</v>
      </c>
      <c r="K1385" s="9">
        <v>43598</v>
      </c>
      <c r="L1385" s="10">
        <v>0.51597222222222217</v>
      </c>
      <c r="M1385" t="s">
        <v>773</v>
      </c>
      <c r="N1385" t="s">
        <v>2318</v>
      </c>
      <c r="O1385" t="s">
        <v>22</v>
      </c>
    </row>
    <row r="1386" spans="1:15" hidden="1">
      <c r="A1386" t="s">
        <v>15</v>
      </c>
      <c r="B1386" t="str">
        <f>"FES1162688812"</f>
        <v>FES1162688812</v>
      </c>
      <c r="C1386" s="9">
        <v>43595</v>
      </c>
      <c r="D1386">
        <v>1</v>
      </c>
      <c r="E1386">
        <v>2170685488</v>
      </c>
      <c r="F1386" t="s">
        <v>16</v>
      </c>
      <c r="G1386" t="s">
        <v>17</v>
      </c>
      <c r="H1386" t="s">
        <v>290</v>
      </c>
      <c r="I1386" t="s">
        <v>291</v>
      </c>
      <c r="J1386" t="s">
        <v>1187</v>
      </c>
      <c r="K1386" s="9">
        <v>43598</v>
      </c>
      <c r="L1386" s="10">
        <v>0.41666666666666669</v>
      </c>
      <c r="M1386" t="s">
        <v>56</v>
      </c>
      <c r="N1386" t="s">
        <v>2319</v>
      </c>
      <c r="O1386" t="s">
        <v>22</v>
      </c>
    </row>
    <row r="1387" spans="1:15" hidden="1">
      <c r="A1387" t="s">
        <v>15</v>
      </c>
      <c r="B1387" t="str">
        <f>"FES1162689273"</f>
        <v>FES1162689273</v>
      </c>
      <c r="C1387" s="9">
        <v>43595</v>
      </c>
      <c r="D1387">
        <v>1</v>
      </c>
      <c r="E1387">
        <v>2170687846</v>
      </c>
      <c r="F1387" t="s">
        <v>16</v>
      </c>
      <c r="G1387" t="s">
        <v>17</v>
      </c>
      <c r="H1387" t="s">
        <v>132</v>
      </c>
      <c r="I1387" t="s">
        <v>133</v>
      </c>
      <c r="J1387" t="s">
        <v>594</v>
      </c>
      <c r="K1387" s="9">
        <v>43598</v>
      </c>
      <c r="L1387" s="10">
        <v>0.37152777777777773</v>
      </c>
      <c r="M1387" t="s">
        <v>2062</v>
      </c>
      <c r="N1387" t="s">
        <v>2320</v>
      </c>
      <c r="O1387" t="s">
        <v>22</v>
      </c>
    </row>
    <row r="1388" spans="1:15">
      <c r="A1388" s="6" t="s">
        <v>15</v>
      </c>
      <c r="B1388" s="6" t="str">
        <f>"FES1162688772"</f>
        <v>FES1162688772</v>
      </c>
      <c r="C1388" s="7">
        <v>43595</v>
      </c>
      <c r="D1388" s="6">
        <v>1</v>
      </c>
      <c r="E1388" s="6">
        <v>2170685950</v>
      </c>
      <c r="F1388" s="6" t="s">
        <v>16</v>
      </c>
      <c r="G1388" s="6" t="s">
        <v>17</v>
      </c>
      <c r="H1388" s="6" t="s">
        <v>17</v>
      </c>
      <c r="I1388" s="6" t="s">
        <v>64</v>
      </c>
      <c r="J1388" s="6" t="s">
        <v>288</v>
      </c>
      <c r="K1388" s="7">
        <v>43598</v>
      </c>
      <c r="L1388" s="8">
        <v>0.3611111111111111</v>
      </c>
      <c r="M1388" s="6" t="s">
        <v>913</v>
      </c>
      <c r="N1388" s="6" t="s">
        <v>21</v>
      </c>
      <c r="O1388" s="6" t="s">
        <v>22</v>
      </c>
    </row>
    <row r="1389" spans="1:15">
      <c r="A1389" s="6" t="s">
        <v>15</v>
      </c>
      <c r="B1389" s="6" t="str">
        <f>"FES1162688867"</f>
        <v>FES1162688867</v>
      </c>
      <c r="C1389" s="7">
        <v>43595</v>
      </c>
      <c r="D1389" s="6">
        <v>1</v>
      </c>
      <c r="E1389" s="6">
        <v>2170685950</v>
      </c>
      <c r="F1389" s="6" t="s">
        <v>16</v>
      </c>
      <c r="G1389" s="6" t="s">
        <v>17</v>
      </c>
      <c r="H1389" s="6" t="s">
        <v>17</v>
      </c>
      <c r="I1389" s="6" t="s">
        <v>64</v>
      </c>
      <c r="J1389" s="6" t="s">
        <v>288</v>
      </c>
      <c r="K1389" s="7">
        <v>43598</v>
      </c>
      <c r="L1389" s="8">
        <v>0.3611111111111111</v>
      </c>
      <c r="M1389" s="6" t="s">
        <v>913</v>
      </c>
      <c r="N1389" s="6" t="s">
        <v>21</v>
      </c>
      <c r="O1389" s="6" t="s">
        <v>22</v>
      </c>
    </row>
    <row r="1390" spans="1:15" hidden="1">
      <c r="A1390" t="s">
        <v>15</v>
      </c>
      <c r="B1390" t="str">
        <f>"FES1162689293"</f>
        <v>FES1162689293</v>
      </c>
      <c r="C1390" s="9">
        <v>43595</v>
      </c>
      <c r="D1390">
        <v>1</v>
      </c>
      <c r="E1390">
        <v>2170687871</v>
      </c>
      <c r="F1390" t="s">
        <v>16</v>
      </c>
      <c r="G1390" t="s">
        <v>17</v>
      </c>
      <c r="H1390" t="s">
        <v>141</v>
      </c>
      <c r="I1390" t="s">
        <v>142</v>
      </c>
      <c r="J1390" t="s">
        <v>2232</v>
      </c>
      <c r="K1390" s="9">
        <v>43598</v>
      </c>
      <c r="L1390" s="10">
        <v>0.43402777777777773</v>
      </c>
      <c r="M1390" t="s">
        <v>2321</v>
      </c>
      <c r="N1390" t="s">
        <v>2322</v>
      </c>
      <c r="O1390" t="s">
        <v>22</v>
      </c>
    </row>
    <row r="1391" spans="1:15" hidden="1">
      <c r="A1391" t="s">
        <v>15</v>
      </c>
      <c r="B1391" t="str">
        <f>"FES1162689254"</f>
        <v>FES1162689254</v>
      </c>
      <c r="C1391" s="9">
        <v>43595</v>
      </c>
      <c r="D1391">
        <v>1</v>
      </c>
      <c r="E1391">
        <v>2170687087</v>
      </c>
      <c r="F1391" t="s">
        <v>16</v>
      </c>
      <c r="G1391" t="s">
        <v>17</v>
      </c>
      <c r="H1391" t="s">
        <v>43</v>
      </c>
      <c r="I1391" t="s">
        <v>54</v>
      </c>
      <c r="J1391" t="s">
        <v>216</v>
      </c>
      <c r="K1391" s="9">
        <v>43598</v>
      </c>
      <c r="L1391" s="10">
        <v>0.41666666666666669</v>
      </c>
      <c r="M1391" t="s">
        <v>1443</v>
      </c>
      <c r="N1391" t="s">
        <v>2323</v>
      </c>
      <c r="O1391" t="s">
        <v>22</v>
      </c>
    </row>
    <row r="1392" spans="1:15" hidden="1">
      <c r="A1392" t="s">
        <v>15</v>
      </c>
      <c r="B1392" t="str">
        <f>"FES1162689282"</f>
        <v>FES1162689282</v>
      </c>
      <c r="C1392" s="9">
        <v>43595</v>
      </c>
      <c r="D1392">
        <v>1</v>
      </c>
      <c r="E1392">
        <v>2170687861</v>
      </c>
      <c r="F1392" t="s">
        <v>16</v>
      </c>
      <c r="G1392" t="s">
        <v>17</v>
      </c>
      <c r="H1392" t="s">
        <v>290</v>
      </c>
      <c r="I1392" t="s">
        <v>291</v>
      </c>
      <c r="J1392" t="s">
        <v>2324</v>
      </c>
      <c r="K1392" s="9">
        <v>43598</v>
      </c>
      <c r="L1392" s="10">
        <v>0.3263888888888889</v>
      </c>
      <c r="M1392" t="s">
        <v>2325</v>
      </c>
      <c r="N1392" t="s">
        <v>2326</v>
      </c>
      <c r="O1392" t="s">
        <v>22</v>
      </c>
    </row>
    <row r="1393" spans="1:15" hidden="1">
      <c r="A1393" t="s">
        <v>15</v>
      </c>
      <c r="B1393" t="str">
        <f>"FES1162689247"</f>
        <v>FES1162689247</v>
      </c>
      <c r="C1393" s="9">
        <v>43595</v>
      </c>
      <c r="D1393">
        <v>1</v>
      </c>
      <c r="E1393">
        <v>2170687825</v>
      </c>
      <c r="F1393" t="s">
        <v>16</v>
      </c>
      <c r="G1393" t="s">
        <v>17</v>
      </c>
      <c r="H1393" t="s">
        <v>141</v>
      </c>
      <c r="I1393" t="s">
        <v>142</v>
      </c>
      <c r="J1393" t="s">
        <v>228</v>
      </c>
      <c r="K1393" s="9">
        <v>43598</v>
      </c>
      <c r="L1393" s="10">
        <v>0.39652777777777781</v>
      </c>
      <c r="M1393" t="s">
        <v>1371</v>
      </c>
      <c r="N1393" t="s">
        <v>2327</v>
      </c>
      <c r="O1393" t="s">
        <v>22</v>
      </c>
    </row>
    <row r="1394" spans="1:15" hidden="1">
      <c r="A1394" t="s">
        <v>15</v>
      </c>
      <c r="B1394" t="str">
        <f>"FES1162689201"</f>
        <v>FES1162689201</v>
      </c>
      <c r="C1394" s="9">
        <v>43595</v>
      </c>
      <c r="D1394">
        <v>1</v>
      </c>
      <c r="E1394">
        <v>2170687642</v>
      </c>
      <c r="F1394" t="s">
        <v>16</v>
      </c>
      <c r="G1394" t="s">
        <v>17</v>
      </c>
      <c r="H1394" t="s">
        <v>132</v>
      </c>
      <c r="I1394" t="s">
        <v>133</v>
      </c>
      <c r="J1394" t="s">
        <v>1008</v>
      </c>
      <c r="K1394" s="9">
        <v>43598</v>
      </c>
      <c r="L1394" s="10">
        <v>0.3743055555555555</v>
      </c>
      <c r="M1394" t="s">
        <v>2328</v>
      </c>
      <c r="N1394" t="s">
        <v>2329</v>
      </c>
      <c r="O1394" t="s">
        <v>22</v>
      </c>
    </row>
    <row r="1395" spans="1:15" hidden="1">
      <c r="A1395" t="s">
        <v>15</v>
      </c>
      <c r="B1395" t="str">
        <f>"FES1162688984"</f>
        <v>FES1162688984</v>
      </c>
      <c r="C1395" s="9">
        <v>43595</v>
      </c>
      <c r="D1395">
        <v>1</v>
      </c>
      <c r="E1395">
        <v>2170687575</v>
      </c>
      <c r="F1395" t="s">
        <v>16</v>
      </c>
      <c r="G1395" t="s">
        <v>17</v>
      </c>
      <c r="H1395" t="s">
        <v>43</v>
      </c>
      <c r="I1395" t="s">
        <v>2162</v>
      </c>
      <c r="J1395" t="s">
        <v>2163</v>
      </c>
      <c r="K1395" s="9">
        <v>43599</v>
      </c>
      <c r="L1395" s="10">
        <v>0.48333333333333334</v>
      </c>
      <c r="M1395" t="s">
        <v>2164</v>
      </c>
      <c r="N1395" t="s">
        <v>2330</v>
      </c>
      <c r="O1395" t="s">
        <v>22</v>
      </c>
    </row>
    <row r="1396" spans="1:15" hidden="1">
      <c r="A1396" t="s">
        <v>15</v>
      </c>
      <c r="B1396" t="str">
        <f>"FES1162689214"</f>
        <v>FES1162689214</v>
      </c>
      <c r="C1396" s="9">
        <v>43595</v>
      </c>
      <c r="D1396">
        <v>1</v>
      </c>
      <c r="E1396">
        <v>2170687777</v>
      </c>
      <c r="F1396" t="s">
        <v>16</v>
      </c>
      <c r="G1396" t="s">
        <v>17</v>
      </c>
      <c r="H1396" t="s">
        <v>43</v>
      </c>
      <c r="I1396" t="s">
        <v>44</v>
      </c>
      <c r="J1396" t="s">
        <v>51</v>
      </c>
      <c r="K1396" s="9">
        <v>43598</v>
      </c>
      <c r="L1396" s="10">
        <v>0.34791666666666665</v>
      </c>
      <c r="M1396" t="s">
        <v>1394</v>
      </c>
      <c r="N1396" t="s">
        <v>2331</v>
      </c>
      <c r="O1396" t="s">
        <v>22</v>
      </c>
    </row>
    <row r="1397" spans="1:15" hidden="1">
      <c r="A1397" t="s">
        <v>15</v>
      </c>
      <c r="B1397" t="str">
        <f>"FES1162689304"</f>
        <v>FES1162689304</v>
      </c>
      <c r="C1397" s="9">
        <v>43595</v>
      </c>
      <c r="D1397">
        <v>1</v>
      </c>
      <c r="E1397">
        <v>2170684329</v>
      </c>
      <c r="F1397" t="s">
        <v>16</v>
      </c>
      <c r="G1397" t="s">
        <v>17</v>
      </c>
      <c r="H1397" t="s">
        <v>141</v>
      </c>
      <c r="I1397" t="s">
        <v>142</v>
      </c>
      <c r="J1397" t="s">
        <v>213</v>
      </c>
      <c r="K1397" s="9">
        <v>43598</v>
      </c>
      <c r="L1397" s="10">
        <v>0.35625000000000001</v>
      </c>
      <c r="M1397" t="s">
        <v>214</v>
      </c>
      <c r="N1397" t="s">
        <v>2332</v>
      </c>
      <c r="O1397" t="s">
        <v>22</v>
      </c>
    </row>
    <row r="1398" spans="1:15" hidden="1">
      <c r="A1398" t="s">
        <v>15</v>
      </c>
      <c r="B1398" t="str">
        <f>"FES1162689269"</f>
        <v>FES1162689269</v>
      </c>
      <c r="C1398" s="9">
        <v>43595</v>
      </c>
      <c r="D1398">
        <v>1</v>
      </c>
      <c r="E1398">
        <v>2170687840</v>
      </c>
      <c r="F1398" t="s">
        <v>16</v>
      </c>
      <c r="G1398" t="s">
        <v>17</v>
      </c>
      <c r="H1398" t="s">
        <v>440</v>
      </c>
      <c r="I1398" t="s">
        <v>2333</v>
      </c>
      <c r="J1398" t="s">
        <v>2334</v>
      </c>
      <c r="K1398" s="9">
        <v>43598</v>
      </c>
      <c r="L1398" s="10">
        <v>0.375</v>
      </c>
      <c r="M1398" t="s">
        <v>2335</v>
      </c>
      <c r="N1398" t="s">
        <v>2336</v>
      </c>
      <c r="O1398" t="s">
        <v>22</v>
      </c>
    </row>
    <row r="1399" spans="1:15" hidden="1">
      <c r="A1399" t="s">
        <v>15</v>
      </c>
      <c r="B1399" t="str">
        <f>"FES1162689190"</f>
        <v>FES1162689190</v>
      </c>
      <c r="C1399" s="9">
        <v>43595</v>
      </c>
      <c r="D1399">
        <v>1</v>
      </c>
      <c r="E1399">
        <v>2170687753</v>
      </c>
      <c r="F1399" t="s">
        <v>16</v>
      </c>
      <c r="G1399" t="s">
        <v>17</v>
      </c>
      <c r="H1399" t="s">
        <v>43</v>
      </c>
      <c r="I1399" t="s">
        <v>44</v>
      </c>
      <c r="J1399" t="s">
        <v>1591</v>
      </c>
      <c r="K1399" s="9">
        <v>43598</v>
      </c>
      <c r="L1399" s="10">
        <v>0.46180555555555558</v>
      </c>
      <c r="M1399" t="s">
        <v>1880</v>
      </c>
      <c r="N1399" t="s">
        <v>2337</v>
      </c>
      <c r="O1399" t="s">
        <v>22</v>
      </c>
    </row>
    <row r="1400" spans="1:15" hidden="1">
      <c r="A1400" t="s">
        <v>15</v>
      </c>
      <c r="B1400" t="str">
        <f>"FES1162689303"</f>
        <v>FES1162689303</v>
      </c>
      <c r="C1400" s="9">
        <v>43595</v>
      </c>
      <c r="D1400">
        <v>1</v>
      </c>
      <c r="E1400">
        <v>2170686757</v>
      </c>
      <c r="F1400" t="s">
        <v>16</v>
      </c>
      <c r="G1400" t="s">
        <v>17</v>
      </c>
      <c r="H1400" t="s">
        <v>141</v>
      </c>
      <c r="I1400" t="s">
        <v>142</v>
      </c>
      <c r="J1400" t="s">
        <v>917</v>
      </c>
      <c r="K1400" s="9">
        <v>43598</v>
      </c>
      <c r="L1400" s="10">
        <v>0.33819444444444446</v>
      </c>
      <c r="M1400" t="s">
        <v>2338</v>
      </c>
      <c r="N1400" t="s">
        <v>2339</v>
      </c>
      <c r="O1400" t="s">
        <v>22</v>
      </c>
    </row>
    <row r="1401" spans="1:15" hidden="1">
      <c r="A1401" t="s">
        <v>15</v>
      </c>
      <c r="B1401" t="str">
        <f>"FES1162688831"</f>
        <v>FES1162688831</v>
      </c>
      <c r="C1401" s="9">
        <v>43595</v>
      </c>
      <c r="D1401">
        <v>1</v>
      </c>
      <c r="E1401">
        <v>2170685669</v>
      </c>
      <c r="F1401" t="s">
        <v>16</v>
      </c>
      <c r="G1401" t="s">
        <v>17</v>
      </c>
      <c r="H1401" t="s">
        <v>290</v>
      </c>
      <c r="I1401" t="s">
        <v>601</v>
      </c>
      <c r="J1401" t="s">
        <v>602</v>
      </c>
      <c r="K1401" s="9">
        <v>43598</v>
      </c>
      <c r="L1401" s="10">
        <v>0.60069444444444442</v>
      </c>
      <c r="M1401" t="s">
        <v>1830</v>
      </c>
      <c r="N1401" t="s">
        <v>2340</v>
      </c>
      <c r="O1401" t="s">
        <v>22</v>
      </c>
    </row>
    <row r="1402" spans="1:15" hidden="1">
      <c r="A1402" t="s">
        <v>15</v>
      </c>
      <c r="B1402" t="str">
        <f>"FES1162688776"</f>
        <v>FES1162688776</v>
      </c>
      <c r="C1402" s="9">
        <v>43595</v>
      </c>
      <c r="D1402">
        <v>1</v>
      </c>
      <c r="E1402">
        <v>2170686277</v>
      </c>
      <c r="F1402" t="s">
        <v>16</v>
      </c>
      <c r="G1402" t="s">
        <v>17</v>
      </c>
      <c r="H1402" t="s">
        <v>290</v>
      </c>
      <c r="I1402" t="s">
        <v>291</v>
      </c>
      <c r="J1402" t="s">
        <v>1744</v>
      </c>
      <c r="K1402" s="9">
        <v>43598</v>
      </c>
      <c r="L1402" s="10">
        <v>0.34583333333333338</v>
      </c>
      <c r="M1402" t="s">
        <v>2248</v>
      </c>
      <c r="N1402" t="s">
        <v>2341</v>
      </c>
      <c r="O1402" t="s">
        <v>22</v>
      </c>
    </row>
    <row r="1403" spans="1:15" hidden="1">
      <c r="A1403" t="s">
        <v>15</v>
      </c>
      <c r="B1403" t="str">
        <f>"FES1162689132"</f>
        <v>FES1162689132</v>
      </c>
      <c r="C1403" s="9">
        <v>43595</v>
      </c>
      <c r="D1403">
        <v>1</v>
      </c>
      <c r="E1403">
        <v>2170687712</v>
      </c>
      <c r="F1403" t="s">
        <v>16</v>
      </c>
      <c r="G1403" t="s">
        <v>17</v>
      </c>
      <c r="H1403" t="s">
        <v>43</v>
      </c>
      <c r="I1403" t="s">
        <v>44</v>
      </c>
      <c r="J1403" t="s">
        <v>1527</v>
      </c>
      <c r="K1403" s="9">
        <v>43598</v>
      </c>
      <c r="L1403" s="10">
        <v>0.41666666666666669</v>
      </c>
      <c r="M1403" t="s">
        <v>1528</v>
      </c>
      <c r="N1403" t="s">
        <v>2342</v>
      </c>
      <c r="O1403" t="s">
        <v>22</v>
      </c>
    </row>
    <row r="1404" spans="1:15" ht="15.75" thickBot="1">
      <c r="A1404" s="11" t="s">
        <v>15</v>
      </c>
      <c r="B1404" s="11" t="str">
        <f>"FES1162689301"</f>
        <v>FES1162689301</v>
      </c>
      <c r="C1404" s="12">
        <v>43595</v>
      </c>
      <c r="D1404" s="11">
        <v>1</v>
      </c>
      <c r="E1404" s="11">
        <v>2170685691</v>
      </c>
      <c r="F1404" s="11" t="s">
        <v>16</v>
      </c>
      <c r="G1404" s="11" t="s">
        <v>17</v>
      </c>
      <c r="H1404" s="11" t="s">
        <v>17</v>
      </c>
      <c r="I1404" s="11" t="s">
        <v>18</v>
      </c>
      <c r="J1404" s="11" t="s">
        <v>2343</v>
      </c>
      <c r="K1404" s="12">
        <v>43598</v>
      </c>
      <c r="L1404" s="13">
        <v>0.4375</v>
      </c>
      <c r="M1404" s="11" t="s">
        <v>1347</v>
      </c>
      <c r="N1404" s="11" t="s">
        <v>21</v>
      </c>
      <c r="O1404" s="11" t="s">
        <v>22</v>
      </c>
    </row>
    <row r="1405" spans="1:15" hidden="1">
      <c r="A1405" t="s">
        <v>15</v>
      </c>
      <c r="B1405" t="str">
        <f>"FES1162689291"</f>
        <v>FES1162689291</v>
      </c>
      <c r="C1405" s="9">
        <v>43595</v>
      </c>
      <c r="D1405">
        <v>1</v>
      </c>
      <c r="E1405">
        <v>2170687856</v>
      </c>
      <c r="F1405" t="s">
        <v>2166</v>
      </c>
      <c r="G1405" t="s">
        <v>17</v>
      </c>
      <c r="H1405" t="s">
        <v>32</v>
      </c>
      <c r="I1405" t="s">
        <v>33</v>
      </c>
      <c r="J1405" t="s">
        <v>790</v>
      </c>
      <c r="K1405" s="9">
        <v>43596</v>
      </c>
      <c r="L1405" s="10">
        <v>0.29166666666666669</v>
      </c>
      <c r="M1405" t="s">
        <v>2344</v>
      </c>
      <c r="N1405" t="s">
        <v>2345</v>
      </c>
      <c r="O1405" t="s">
        <v>2346</v>
      </c>
    </row>
    <row r="1406" spans="1:15" hidden="1">
      <c r="A1406" t="s">
        <v>15</v>
      </c>
      <c r="B1406" t="str">
        <f>"FES1162689292"</f>
        <v>FES1162689292</v>
      </c>
      <c r="C1406" s="9">
        <v>43595</v>
      </c>
      <c r="D1406">
        <v>1</v>
      </c>
      <c r="E1406">
        <v>2170687859</v>
      </c>
      <c r="F1406" t="s">
        <v>2166</v>
      </c>
      <c r="G1406" t="s">
        <v>17</v>
      </c>
      <c r="H1406" t="s">
        <v>32</v>
      </c>
      <c r="I1406" t="s">
        <v>33</v>
      </c>
      <c r="J1406" t="s">
        <v>790</v>
      </c>
      <c r="K1406" s="9">
        <v>43596</v>
      </c>
      <c r="L1406" s="10">
        <v>0.29166666666666669</v>
      </c>
      <c r="M1406" t="s">
        <v>2344</v>
      </c>
      <c r="N1406" t="s">
        <v>2347</v>
      </c>
      <c r="O1406" t="s">
        <v>2348</v>
      </c>
    </row>
    <row r="1407" spans="1:15" hidden="1">
      <c r="A1407" t="s">
        <v>15</v>
      </c>
      <c r="B1407" t="str">
        <f>"009935723236"</f>
        <v>009935723236</v>
      </c>
      <c r="C1407" s="9">
        <v>43595</v>
      </c>
      <c r="D1407">
        <v>1</v>
      </c>
      <c r="E1407" t="s">
        <v>2349</v>
      </c>
      <c r="F1407" t="s">
        <v>16</v>
      </c>
      <c r="G1407" t="s">
        <v>17</v>
      </c>
      <c r="H1407" t="s">
        <v>43</v>
      </c>
      <c r="I1407" t="s">
        <v>44</v>
      </c>
      <c r="J1407" t="s">
        <v>607</v>
      </c>
      <c r="K1407" s="9">
        <v>43598</v>
      </c>
      <c r="L1407" s="10">
        <v>0.41597222222222219</v>
      </c>
      <c r="M1407" t="s">
        <v>570</v>
      </c>
      <c r="N1407" t="s">
        <v>2350</v>
      </c>
      <c r="O1407" t="s">
        <v>22</v>
      </c>
    </row>
    <row r="1408" spans="1:15" hidden="1">
      <c r="A1408" t="s">
        <v>15</v>
      </c>
      <c r="B1408" t="str">
        <f>"009935723237"</f>
        <v>009935723237</v>
      </c>
      <c r="C1408" s="9">
        <v>43595</v>
      </c>
      <c r="D1408">
        <v>1</v>
      </c>
      <c r="E1408" t="s">
        <v>2349</v>
      </c>
      <c r="F1408" t="s">
        <v>16</v>
      </c>
      <c r="G1408" t="s">
        <v>17</v>
      </c>
      <c r="H1408" t="s">
        <v>141</v>
      </c>
      <c r="I1408" t="s">
        <v>142</v>
      </c>
      <c r="J1408" t="s">
        <v>201</v>
      </c>
      <c r="K1408" s="9">
        <v>43598</v>
      </c>
      <c r="L1408" s="10">
        <v>0.36874999999999997</v>
      </c>
      <c r="M1408" t="s">
        <v>2351</v>
      </c>
      <c r="N1408" t="s">
        <v>2352</v>
      </c>
      <c r="O1408" t="s">
        <v>22</v>
      </c>
    </row>
    <row r="1409" spans="1:15" hidden="1">
      <c r="A1409" t="s">
        <v>15</v>
      </c>
      <c r="B1409" t="str">
        <f>"009935723238"</f>
        <v>009935723238</v>
      </c>
      <c r="C1409" s="9">
        <v>43595</v>
      </c>
      <c r="D1409">
        <v>1</v>
      </c>
      <c r="E1409" t="s">
        <v>2349</v>
      </c>
      <c r="F1409" t="s">
        <v>16</v>
      </c>
      <c r="G1409" t="s">
        <v>17</v>
      </c>
      <c r="H1409" t="s">
        <v>32</v>
      </c>
      <c r="I1409" t="s">
        <v>33</v>
      </c>
      <c r="J1409" t="s">
        <v>2108</v>
      </c>
      <c r="K1409" s="9">
        <v>43598</v>
      </c>
      <c r="L1409" s="10">
        <v>0.3611111111111111</v>
      </c>
      <c r="M1409" t="s">
        <v>88</v>
      </c>
      <c r="N1409" t="s">
        <v>2353</v>
      </c>
      <c r="O1409" t="s">
        <v>22</v>
      </c>
    </row>
    <row r="1410" spans="1:15" hidden="1">
      <c r="A1410" t="s">
        <v>15</v>
      </c>
      <c r="B1410" t="str">
        <f>"019911095812"</f>
        <v>019911095812</v>
      </c>
      <c r="C1410" s="9">
        <v>43595</v>
      </c>
      <c r="D1410">
        <v>2</v>
      </c>
      <c r="E1410" t="s">
        <v>1064</v>
      </c>
      <c r="F1410" t="s">
        <v>58</v>
      </c>
      <c r="G1410" t="s">
        <v>43</v>
      </c>
      <c r="H1410" t="s">
        <v>59</v>
      </c>
      <c r="I1410" t="s">
        <v>64</v>
      </c>
      <c r="J1410" t="s">
        <v>1061</v>
      </c>
      <c r="K1410" s="9">
        <v>43599</v>
      </c>
      <c r="L1410" s="10">
        <v>0.39583333333333331</v>
      </c>
      <c r="M1410" t="s">
        <v>477</v>
      </c>
      <c r="N1410" t="s">
        <v>2354</v>
      </c>
      <c r="O1410" t="s">
        <v>22</v>
      </c>
    </row>
    <row r="1411" spans="1:15">
      <c r="A1411" s="6" t="s">
        <v>15</v>
      </c>
      <c r="B1411" s="6" t="str">
        <f>"FES1162689390"</f>
        <v>FES1162689390</v>
      </c>
      <c r="C1411" s="7">
        <v>43598</v>
      </c>
      <c r="D1411" s="6">
        <v>1</v>
      </c>
      <c r="E1411" s="6">
        <v>2170687839</v>
      </c>
      <c r="F1411" s="6" t="s">
        <v>16</v>
      </c>
      <c r="G1411" s="6" t="s">
        <v>17</v>
      </c>
      <c r="H1411" s="6" t="s">
        <v>17</v>
      </c>
      <c r="I1411" s="6" t="s">
        <v>610</v>
      </c>
      <c r="J1411" s="6" t="s">
        <v>2355</v>
      </c>
      <c r="K1411" s="7">
        <v>43599</v>
      </c>
      <c r="L1411" s="8">
        <v>0.33333333333333331</v>
      </c>
      <c r="M1411" s="6" t="s">
        <v>2356</v>
      </c>
      <c r="N1411" s="6" t="s">
        <v>21</v>
      </c>
      <c r="O1411" s="6" t="s">
        <v>22</v>
      </c>
    </row>
    <row r="1412" spans="1:15">
      <c r="A1412" s="3" t="s">
        <v>15</v>
      </c>
      <c r="B1412" s="3" t="str">
        <f>"FES1162689378"</f>
        <v>FES1162689378</v>
      </c>
      <c r="C1412" s="4">
        <v>43598</v>
      </c>
      <c r="D1412" s="3">
        <v>1</v>
      </c>
      <c r="E1412" s="3">
        <v>2170687945</v>
      </c>
      <c r="F1412" s="3" t="s">
        <v>16</v>
      </c>
      <c r="G1412" s="3" t="s">
        <v>17</v>
      </c>
      <c r="H1412" s="3" t="s">
        <v>17</v>
      </c>
      <c r="I1412" s="3" t="s">
        <v>414</v>
      </c>
      <c r="J1412" s="3" t="s">
        <v>1386</v>
      </c>
      <c r="K1412" s="4">
        <v>43599</v>
      </c>
      <c r="L1412" s="5">
        <v>0.33402777777777781</v>
      </c>
      <c r="M1412" s="3" t="s">
        <v>2357</v>
      </c>
      <c r="N1412" s="3" t="s">
        <v>21</v>
      </c>
      <c r="O1412" s="3" t="s">
        <v>22</v>
      </c>
    </row>
    <row r="1413" spans="1:15">
      <c r="A1413" s="6" t="s">
        <v>15</v>
      </c>
      <c r="B1413" s="6" t="str">
        <f>"FES1162689376"</f>
        <v>FES1162689376</v>
      </c>
      <c r="C1413" s="7">
        <v>43598</v>
      </c>
      <c r="D1413" s="6">
        <v>1</v>
      </c>
      <c r="E1413" s="6">
        <v>2170687548</v>
      </c>
      <c r="F1413" s="6" t="s">
        <v>16</v>
      </c>
      <c r="G1413" s="6" t="s">
        <v>17</v>
      </c>
      <c r="H1413" s="6" t="s">
        <v>17</v>
      </c>
      <c r="I1413" s="6" t="s">
        <v>414</v>
      </c>
      <c r="J1413" s="6" t="s">
        <v>1386</v>
      </c>
      <c r="K1413" s="7">
        <v>43599</v>
      </c>
      <c r="L1413" s="8">
        <v>0.33402777777777781</v>
      </c>
      <c r="M1413" s="6" t="s">
        <v>2357</v>
      </c>
      <c r="N1413" s="6" t="s">
        <v>21</v>
      </c>
      <c r="O1413" s="6" t="s">
        <v>22</v>
      </c>
    </row>
    <row r="1414" spans="1:15">
      <c r="A1414" s="6" t="s">
        <v>15</v>
      </c>
      <c r="B1414" s="6" t="str">
        <f>"FES1162689510"</f>
        <v>FES1162689510</v>
      </c>
      <c r="C1414" s="7">
        <v>43598</v>
      </c>
      <c r="D1414" s="6">
        <v>1</v>
      </c>
      <c r="E1414" s="6">
        <v>2170688080</v>
      </c>
      <c r="F1414" s="6" t="s">
        <v>16</v>
      </c>
      <c r="G1414" s="6" t="s">
        <v>17</v>
      </c>
      <c r="H1414" s="6" t="s">
        <v>17</v>
      </c>
      <c r="I1414" s="6" t="s">
        <v>84</v>
      </c>
      <c r="J1414" s="6" t="s">
        <v>85</v>
      </c>
      <c r="K1414" s="7">
        <v>43599</v>
      </c>
      <c r="L1414" s="8">
        <v>0.33333333333333331</v>
      </c>
      <c r="M1414" s="6" t="s">
        <v>2358</v>
      </c>
      <c r="N1414" s="6" t="s">
        <v>21</v>
      </c>
      <c r="O1414" s="6" t="s">
        <v>22</v>
      </c>
    </row>
    <row r="1415" spans="1:15">
      <c r="A1415" s="6" t="s">
        <v>15</v>
      </c>
      <c r="B1415" s="6" t="str">
        <f>"FES1162689481"</f>
        <v>FES1162689481</v>
      </c>
      <c r="C1415" s="7">
        <v>43598</v>
      </c>
      <c r="D1415" s="6">
        <v>1</v>
      </c>
      <c r="E1415" s="6">
        <v>2170688041</v>
      </c>
      <c r="F1415" s="6" t="s">
        <v>16</v>
      </c>
      <c r="G1415" s="6" t="s">
        <v>17</v>
      </c>
      <c r="H1415" s="6" t="s">
        <v>17</v>
      </c>
      <c r="I1415" s="6" t="s">
        <v>613</v>
      </c>
      <c r="J1415" s="6" t="s">
        <v>706</v>
      </c>
      <c r="K1415" s="7">
        <v>43599</v>
      </c>
      <c r="L1415" s="8">
        <v>0.5</v>
      </c>
      <c r="M1415" s="6" t="s">
        <v>2359</v>
      </c>
      <c r="N1415" s="6" t="s">
        <v>21</v>
      </c>
      <c r="O1415" s="6" t="s">
        <v>22</v>
      </c>
    </row>
    <row r="1416" spans="1:15">
      <c r="A1416" s="6" t="s">
        <v>15</v>
      </c>
      <c r="B1416" s="6" t="str">
        <f>"FES1162689400"</f>
        <v>FES1162689400</v>
      </c>
      <c r="C1416" s="7">
        <v>43598</v>
      </c>
      <c r="D1416" s="6">
        <v>1</v>
      </c>
      <c r="E1416" s="6">
        <v>2170687966</v>
      </c>
      <c r="F1416" s="6" t="s">
        <v>16</v>
      </c>
      <c r="G1416" s="6" t="s">
        <v>17</v>
      </c>
      <c r="H1416" s="6" t="s">
        <v>17</v>
      </c>
      <c r="I1416" s="6" t="s">
        <v>414</v>
      </c>
      <c r="J1416" s="6" t="s">
        <v>2360</v>
      </c>
      <c r="K1416" s="7">
        <v>43599</v>
      </c>
      <c r="L1416" s="8">
        <v>0.33333333333333331</v>
      </c>
      <c r="M1416" s="6" t="s">
        <v>2034</v>
      </c>
      <c r="N1416" s="6" t="s">
        <v>21</v>
      </c>
      <c r="O1416" s="6" t="s">
        <v>22</v>
      </c>
    </row>
    <row r="1417" spans="1:15">
      <c r="A1417" s="6" t="s">
        <v>15</v>
      </c>
      <c r="B1417" s="6" t="str">
        <f>"FES1162689438"</f>
        <v>FES1162689438</v>
      </c>
      <c r="C1417" s="7">
        <v>43598</v>
      </c>
      <c r="D1417" s="6">
        <v>1</v>
      </c>
      <c r="E1417" s="6">
        <v>2170685110</v>
      </c>
      <c r="F1417" s="6" t="s">
        <v>16</v>
      </c>
      <c r="G1417" s="6" t="s">
        <v>17</v>
      </c>
      <c r="H1417" s="6" t="s">
        <v>17</v>
      </c>
      <c r="I1417" s="6" t="s">
        <v>414</v>
      </c>
      <c r="J1417" s="6" t="s">
        <v>1096</v>
      </c>
      <c r="K1417" s="7">
        <v>43599</v>
      </c>
      <c r="L1417" s="8">
        <v>0.40625</v>
      </c>
      <c r="M1417" s="6" t="s">
        <v>1539</v>
      </c>
      <c r="N1417" s="6" t="s">
        <v>21</v>
      </c>
      <c r="O1417" s="6" t="s">
        <v>22</v>
      </c>
    </row>
    <row r="1418" spans="1:15">
      <c r="A1418" s="6" t="s">
        <v>15</v>
      </c>
      <c r="B1418" s="6" t="str">
        <f>"FES1162689127"</f>
        <v>FES1162689127</v>
      </c>
      <c r="C1418" s="7">
        <v>43598</v>
      </c>
      <c r="D1418" s="6">
        <v>1</v>
      </c>
      <c r="E1418" s="6">
        <v>2170687706</v>
      </c>
      <c r="F1418" s="6" t="s">
        <v>16</v>
      </c>
      <c r="G1418" s="6" t="s">
        <v>17</v>
      </c>
      <c r="H1418" s="6" t="s">
        <v>17</v>
      </c>
      <c r="I1418" s="6" t="s">
        <v>64</v>
      </c>
      <c r="J1418" s="6" t="s">
        <v>288</v>
      </c>
      <c r="K1418" s="7">
        <v>43599</v>
      </c>
      <c r="L1418" s="8">
        <v>0.39374999999999999</v>
      </c>
      <c r="M1418" s="6" t="s">
        <v>2361</v>
      </c>
      <c r="N1418" s="6" t="s">
        <v>21</v>
      </c>
      <c r="O1418" s="6" t="s">
        <v>22</v>
      </c>
    </row>
    <row r="1419" spans="1:15">
      <c r="A1419" s="6" t="s">
        <v>15</v>
      </c>
      <c r="B1419" s="6" t="str">
        <f>"FES1162689391"</f>
        <v>FES1162689391</v>
      </c>
      <c r="C1419" s="7">
        <v>43598</v>
      </c>
      <c r="D1419" s="6">
        <v>1</v>
      </c>
      <c r="E1419" s="6">
        <v>2170687868</v>
      </c>
      <c r="F1419" s="6" t="s">
        <v>16</v>
      </c>
      <c r="G1419" s="6" t="s">
        <v>17</v>
      </c>
      <c r="H1419" s="6" t="s">
        <v>17</v>
      </c>
      <c r="I1419" s="6" t="s">
        <v>64</v>
      </c>
      <c r="J1419" s="6" t="s">
        <v>2362</v>
      </c>
      <c r="K1419" s="7">
        <v>43599</v>
      </c>
      <c r="L1419" s="8">
        <v>0.43402777777777773</v>
      </c>
      <c r="M1419" s="6" t="s">
        <v>2363</v>
      </c>
      <c r="N1419" s="6" t="s">
        <v>21</v>
      </c>
      <c r="O1419" s="6" t="s">
        <v>22</v>
      </c>
    </row>
    <row r="1420" spans="1:15">
      <c r="A1420" s="6" t="s">
        <v>15</v>
      </c>
      <c r="B1420" s="6" t="str">
        <f>"FES1162689525"</f>
        <v>FES1162689525</v>
      </c>
      <c r="C1420" s="7">
        <v>43598</v>
      </c>
      <c r="D1420" s="6">
        <v>1</v>
      </c>
      <c r="E1420" s="6">
        <v>2170687101</v>
      </c>
      <c r="F1420" s="6" t="s">
        <v>16</v>
      </c>
      <c r="G1420" s="6" t="s">
        <v>17</v>
      </c>
      <c r="H1420" s="6" t="s">
        <v>17</v>
      </c>
      <c r="I1420" s="6" t="s">
        <v>613</v>
      </c>
      <c r="J1420" s="6" t="s">
        <v>1853</v>
      </c>
      <c r="K1420" s="7">
        <v>43599</v>
      </c>
      <c r="L1420" s="8">
        <v>0.4375</v>
      </c>
      <c r="M1420" s="6" t="s">
        <v>2364</v>
      </c>
      <c r="N1420" s="6" t="s">
        <v>21</v>
      </c>
      <c r="O1420" s="6" t="s">
        <v>22</v>
      </c>
    </row>
    <row r="1421" spans="1:15">
      <c r="A1421" s="6" t="s">
        <v>15</v>
      </c>
      <c r="B1421" s="6" t="str">
        <f>"FES1162689471"</f>
        <v>FES1162689471</v>
      </c>
      <c r="C1421" s="7">
        <v>43598</v>
      </c>
      <c r="D1421" s="6">
        <v>1</v>
      </c>
      <c r="E1421" s="6">
        <v>2170688027</v>
      </c>
      <c r="F1421" s="6" t="s">
        <v>16</v>
      </c>
      <c r="G1421" s="6" t="s">
        <v>17</v>
      </c>
      <c r="H1421" s="6" t="s">
        <v>17</v>
      </c>
      <c r="I1421" s="6" t="s">
        <v>613</v>
      </c>
      <c r="J1421" s="6" t="s">
        <v>2365</v>
      </c>
      <c r="K1421" s="7">
        <v>43599</v>
      </c>
      <c r="L1421" s="8">
        <v>0.4375</v>
      </c>
      <c r="M1421" s="6" t="s">
        <v>435</v>
      </c>
      <c r="N1421" s="6" t="s">
        <v>21</v>
      </c>
      <c r="O1421" s="6" t="s">
        <v>22</v>
      </c>
    </row>
    <row r="1422" spans="1:15" hidden="1">
      <c r="A1422" t="s">
        <v>15</v>
      </c>
      <c r="B1422" t="str">
        <f>"FES1162689445"</f>
        <v>FES1162689445</v>
      </c>
      <c r="C1422" s="9">
        <v>43598</v>
      </c>
      <c r="D1422">
        <v>1</v>
      </c>
      <c r="E1422">
        <v>2170682412</v>
      </c>
      <c r="F1422" t="s">
        <v>16</v>
      </c>
      <c r="G1422" t="s">
        <v>17</v>
      </c>
      <c r="H1422" t="s">
        <v>141</v>
      </c>
      <c r="I1422" t="s">
        <v>142</v>
      </c>
      <c r="J1422" t="s">
        <v>864</v>
      </c>
      <c r="K1422" s="9">
        <v>43599</v>
      </c>
      <c r="L1422" s="10">
        <v>0.33611111111111108</v>
      </c>
      <c r="M1422" t="s">
        <v>2254</v>
      </c>
      <c r="N1422" t="s">
        <v>2366</v>
      </c>
      <c r="O1422" t="s">
        <v>22</v>
      </c>
    </row>
    <row r="1423" spans="1:15">
      <c r="A1423" s="6" t="s">
        <v>15</v>
      </c>
      <c r="B1423" s="6" t="str">
        <f>"FES1162689509"</f>
        <v>FES1162689509</v>
      </c>
      <c r="C1423" s="7">
        <v>43598</v>
      </c>
      <c r="D1423" s="6">
        <v>1</v>
      </c>
      <c r="E1423" s="6">
        <v>2170688078</v>
      </c>
      <c r="F1423" s="6" t="s">
        <v>16</v>
      </c>
      <c r="G1423" s="6" t="s">
        <v>17</v>
      </c>
      <c r="H1423" s="6" t="s">
        <v>17</v>
      </c>
      <c r="I1423" s="6" t="s">
        <v>67</v>
      </c>
      <c r="J1423" s="6" t="s">
        <v>1621</v>
      </c>
      <c r="K1423" s="7">
        <v>43599</v>
      </c>
      <c r="L1423" s="8">
        <v>0.37222222222222223</v>
      </c>
      <c r="M1423" s="6" t="s">
        <v>1622</v>
      </c>
      <c r="N1423" s="6" t="s">
        <v>21</v>
      </c>
      <c r="O1423" s="6" t="s">
        <v>22</v>
      </c>
    </row>
    <row r="1424" spans="1:15">
      <c r="A1424" s="6" t="s">
        <v>15</v>
      </c>
      <c r="B1424" s="6" t="str">
        <f>"FES1162689452"</f>
        <v>FES1162689452</v>
      </c>
      <c r="C1424" s="7">
        <v>43598</v>
      </c>
      <c r="D1424" s="6">
        <v>1</v>
      </c>
      <c r="E1424" s="6">
        <v>2170687692</v>
      </c>
      <c r="F1424" s="6" t="s">
        <v>16</v>
      </c>
      <c r="G1424" s="6" t="s">
        <v>17</v>
      </c>
      <c r="H1424" s="6" t="s">
        <v>17</v>
      </c>
      <c r="I1424" s="6" t="s">
        <v>23</v>
      </c>
      <c r="J1424" s="6" t="s">
        <v>2367</v>
      </c>
      <c r="K1424" s="7">
        <v>43599</v>
      </c>
      <c r="L1424" s="8">
        <v>0.34375</v>
      </c>
      <c r="M1424" s="6" t="s">
        <v>481</v>
      </c>
      <c r="N1424" s="6" t="s">
        <v>21</v>
      </c>
      <c r="O1424" s="6" t="s">
        <v>22</v>
      </c>
    </row>
    <row r="1425" spans="1:15">
      <c r="A1425" s="6" t="s">
        <v>15</v>
      </c>
      <c r="B1425" s="6" t="str">
        <f>"FES1162689548"</f>
        <v>FES1162689548</v>
      </c>
      <c r="C1425" s="7">
        <v>43598</v>
      </c>
      <c r="D1425" s="6">
        <v>1</v>
      </c>
      <c r="E1425" s="6">
        <v>2170684503</v>
      </c>
      <c r="F1425" s="6" t="s">
        <v>16</v>
      </c>
      <c r="G1425" s="6" t="s">
        <v>17</v>
      </c>
      <c r="H1425" s="6" t="s">
        <v>17</v>
      </c>
      <c r="I1425" s="6" t="s">
        <v>23</v>
      </c>
      <c r="J1425" s="6" t="s">
        <v>2367</v>
      </c>
      <c r="K1425" s="7">
        <v>43599</v>
      </c>
      <c r="L1425" s="8">
        <v>0.34375</v>
      </c>
      <c r="M1425" s="6" t="s">
        <v>481</v>
      </c>
      <c r="N1425" s="6" t="s">
        <v>21</v>
      </c>
      <c r="O1425" s="6" t="s">
        <v>22</v>
      </c>
    </row>
    <row r="1426" spans="1:15">
      <c r="A1426" s="6" t="s">
        <v>15</v>
      </c>
      <c r="B1426" s="6" t="str">
        <f>"FES1162689490"</f>
        <v>FES1162689490</v>
      </c>
      <c r="C1426" s="7">
        <v>43598</v>
      </c>
      <c r="D1426" s="6">
        <v>1</v>
      </c>
      <c r="E1426" s="6">
        <v>2170688050</v>
      </c>
      <c r="F1426" s="6" t="s">
        <v>16</v>
      </c>
      <c r="G1426" s="6" t="s">
        <v>17</v>
      </c>
      <c r="H1426" s="6" t="s">
        <v>17</v>
      </c>
      <c r="I1426" s="6" t="s">
        <v>29</v>
      </c>
      <c r="J1426" s="6" t="s">
        <v>912</v>
      </c>
      <c r="K1426" s="7">
        <v>43599</v>
      </c>
      <c r="L1426" s="8">
        <v>0.43055555555555558</v>
      </c>
      <c r="M1426" s="6" t="s">
        <v>481</v>
      </c>
      <c r="N1426" s="6" t="s">
        <v>21</v>
      </c>
      <c r="O1426" s="6" t="s">
        <v>22</v>
      </c>
    </row>
    <row r="1427" spans="1:15">
      <c r="A1427" s="6" t="s">
        <v>15</v>
      </c>
      <c r="B1427" s="6" t="str">
        <f>"FES1162689455"</f>
        <v>FES1162689455</v>
      </c>
      <c r="C1427" s="7">
        <v>43598</v>
      </c>
      <c r="D1427" s="6">
        <v>1</v>
      </c>
      <c r="E1427" s="6">
        <v>2170688012</v>
      </c>
      <c r="F1427" s="6" t="s">
        <v>16</v>
      </c>
      <c r="G1427" s="6" t="s">
        <v>17</v>
      </c>
      <c r="H1427" s="6" t="s">
        <v>17</v>
      </c>
      <c r="I1427" s="6" t="s">
        <v>18</v>
      </c>
      <c r="J1427" s="6" t="s">
        <v>581</v>
      </c>
      <c r="K1427" s="7">
        <v>43599</v>
      </c>
      <c r="L1427" s="8">
        <v>0.41875000000000001</v>
      </c>
      <c r="M1427" s="6" t="s">
        <v>2268</v>
      </c>
      <c r="N1427" s="6" t="s">
        <v>21</v>
      </c>
      <c r="O1427" s="6" t="s">
        <v>22</v>
      </c>
    </row>
    <row r="1428" spans="1:15">
      <c r="A1428" s="6" t="s">
        <v>15</v>
      </c>
      <c r="B1428" s="6" t="str">
        <f>"FES1162689472"</f>
        <v>FES1162689472</v>
      </c>
      <c r="C1428" s="7">
        <v>43598</v>
      </c>
      <c r="D1428" s="6">
        <v>1</v>
      </c>
      <c r="E1428" s="6">
        <v>2170688028</v>
      </c>
      <c r="F1428" s="6" t="s">
        <v>16</v>
      </c>
      <c r="G1428" s="6" t="s">
        <v>17</v>
      </c>
      <c r="H1428" s="6" t="s">
        <v>17</v>
      </c>
      <c r="I1428" s="6" t="s">
        <v>18</v>
      </c>
      <c r="J1428" s="6" t="s">
        <v>19</v>
      </c>
      <c r="K1428" s="7">
        <v>43599</v>
      </c>
      <c r="L1428" s="8">
        <v>0.33055555555555555</v>
      </c>
      <c r="M1428" s="6" t="s">
        <v>1472</v>
      </c>
      <c r="N1428" s="6" t="s">
        <v>21</v>
      </c>
      <c r="O1428" s="6" t="s">
        <v>22</v>
      </c>
    </row>
    <row r="1429" spans="1:15">
      <c r="A1429" s="6" t="s">
        <v>15</v>
      </c>
      <c r="B1429" s="6" t="str">
        <f>"FES1162689508"</f>
        <v>FES1162689508</v>
      </c>
      <c r="C1429" s="7">
        <v>43598</v>
      </c>
      <c r="D1429" s="6">
        <v>1</v>
      </c>
      <c r="E1429" s="6">
        <v>2170688076</v>
      </c>
      <c r="F1429" s="6" t="s">
        <v>16</v>
      </c>
      <c r="G1429" s="6" t="s">
        <v>17</v>
      </c>
      <c r="H1429" s="6" t="s">
        <v>17</v>
      </c>
      <c r="I1429" s="6" t="s">
        <v>18</v>
      </c>
      <c r="J1429" s="6" t="s">
        <v>19</v>
      </c>
      <c r="K1429" s="7">
        <v>43599</v>
      </c>
      <c r="L1429" s="8">
        <v>0.32916666666666666</v>
      </c>
      <c r="M1429" s="6" t="s">
        <v>2368</v>
      </c>
      <c r="N1429" s="6" t="s">
        <v>21</v>
      </c>
      <c r="O1429" s="6" t="s">
        <v>22</v>
      </c>
    </row>
    <row r="1430" spans="1:15">
      <c r="A1430" s="6" t="s">
        <v>15</v>
      </c>
      <c r="B1430" s="6" t="str">
        <f>"FES1162689494"</f>
        <v>FES1162689494</v>
      </c>
      <c r="C1430" s="7">
        <v>43598</v>
      </c>
      <c r="D1430" s="6">
        <v>1</v>
      </c>
      <c r="E1430" s="6">
        <v>2170688058</v>
      </c>
      <c r="F1430" s="6" t="s">
        <v>16</v>
      </c>
      <c r="G1430" s="6" t="s">
        <v>17</v>
      </c>
      <c r="H1430" s="6" t="s">
        <v>17</v>
      </c>
      <c r="I1430" s="6" t="s">
        <v>18</v>
      </c>
      <c r="J1430" s="6" t="s">
        <v>19</v>
      </c>
      <c r="K1430" s="7">
        <v>43599</v>
      </c>
      <c r="L1430" s="8">
        <v>0.32847222222222222</v>
      </c>
      <c r="M1430" s="6" t="s">
        <v>1472</v>
      </c>
      <c r="N1430" s="6" t="s">
        <v>21</v>
      </c>
      <c r="O1430" s="6" t="s">
        <v>22</v>
      </c>
    </row>
    <row r="1431" spans="1:15">
      <c r="A1431" s="6" t="s">
        <v>15</v>
      </c>
      <c r="B1431" s="6" t="str">
        <f>"FES1162689352"</f>
        <v>FES1162689352</v>
      </c>
      <c r="C1431" s="7">
        <v>43598</v>
      </c>
      <c r="D1431" s="6">
        <v>1</v>
      </c>
      <c r="E1431" s="6">
        <v>2170687922</v>
      </c>
      <c r="F1431" s="6" t="s">
        <v>16</v>
      </c>
      <c r="G1431" s="6" t="s">
        <v>17</v>
      </c>
      <c r="H1431" s="6" t="s">
        <v>17</v>
      </c>
      <c r="I1431" s="6" t="s">
        <v>18</v>
      </c>
      <c r="J1431" s="6" t="s">
        <v>19</v>
      </c>
      <c r="K1431" s="7">
        <v>43599</v>
      </c>
      <c r="L1431" s="8">
        <v>0.32847222222222222</v>
      </c>
      <c r="M1431" s="6" t="s">
        <v>1540</v>
      </c>
      <c r="N1431" s="6" t="s">
        <v>21</v>
      </c>
      <c r="O1431" s="6" t="s">
        <v>22</v>
      </c>
    </row>
    <row r="1432" spans="1:15">
      <c r="A1432" s="6" t="s">
        <v>15</v>
      </c>
      <c r="B1432" s="6" t="str">
        <f>"FES1162689365"</f>
        <v>FES1162689365</v>
      </c>
      <c r="C1432" s="7">
        <v>43598</v>
      </c>
      <c r="D1432" s="6">
        <v>1</v>
      </c>
      <c r="E1432" s="6">
        <v>2170689741</v>
      </c>
      <c r="F1432" s="6" t="s">
        <v>16</v>
      </c>
      <c r="G1432" s="6" t="s">
        <v>17</v>
      </c>
      <c r="H1432" s="6" t="s">
        <v>17</v>
      </c>
      <c r="I1432" s="6" t="s">
        <v>18</v>
      </c>
      <c r="J1432" s="6" t="s">
        <v>19</v>
      </c>
      <c r="K1432" s="7">
        <v>43599</v>
      </c>
      <c r="L1432" s="8">
        <v>0.32777777777777778</v>
      </c>
      <c r="M1432" s="6" t="s">
        <v>1540</v>
      </c>
      <c r="N1432" s="6" t="s">
        <v>21</v>
      </c>
      <c r="O1432" s="6" t="s">
        <v>22</v>
      </c>
    </row>
    <row r="1433" spans="1:15">
      <c r="A1433" s="6" t="s">
        <v>15</v>
      </c>
      <c r="B1433" s="6" t="str">
        <f>"FES1162689359"</f>
        <v>FES1162689359</v>
      </c>
      <c r="C1433" s="7">
        <v>43598</v>
      </c>
      <c r="D1433" s="6">
        <v>1</v>
      </c>
      <c r="E1433" s="6">
        <v>2170687932</v>
      </c>
      <c r="F1433" s="6" t="s">
        <v>16</v>
      </c>
      <c r="G1433" s="6" t="s">
        <v>17</v>
      </c>
      <c r="H1433" s="6" t="s">
        <v>17</v>
      </c>
      <c r="I1433" s="6" t="s">
        <v>18</v>
      </c>
      <c r="J1433" s="6" t="s">
        <v>19</v>
      </c>
      <c r="K1433" s="7">
        <v>43599</v>
      </c>
      <c r="L1433" s="8">
        <v>0.32916666666666666</v>
      </c>
      <c r="M1433" s="6" t="s">
        <v>1472</v>
      </c>
      <c r="N1433" s="6" t="s">
        <v>21</v>
      </c>
      <c r="O1433" s="6" t="s">
        <v>22</v>
      </c>
    </row>
    <row r="1434" spans="1:15">
      <c r="A1434" s="6" t="s">
        <v>15</v>
      </c>
      <c r="B1434" s="6" t="str">
        <f>"FES1162689379"</f>
        <v>FES1162689379</v>
      </c>
      <c r="C1434" s="7">
        <v>43598</v>
      </c>
      <c r="D1434" s="6">
        <v>1</v>
      </c>
      <c r="E1434" s="6">
        <v>2170687950</v>
      </c>
      <c r="F1434" s="6" t="s">
        <v>16</v>
      </c>
      <c r="G1434" s="6" t="s">
        <v>17</v>
      </c>
      <c r="H1434" s="6" t="s">
        <v>17</v>
      </c>
      <c r="I1434" s="6" t="s">
        <v>18</v>
      </c>
      <c r="J1434" s="6" t="s">
        <v>19</v>
      </c>
      <c r="K1434" s="7">
        <v>43599</v>
      </c>
      <c r="L1434" s="8">
        <v>0.3298611111111111</v>
      </c>
      <c r="M1434" s="6" t="s">
        <v>1472</v>
      </c>
      <c r="N1434" s="6" t="s">
        <v>21</v>
      </c>
      <c r="O1434" s="6" t="s">
        <v>22</v>
      </c>
    </row>
    <row r="1435" spans="1:15">
      <c r="A1435" s="6" t="s">
        <v>15</v>
      </c>
      <c r="B1435" s="6" t="str">
        <f>"FES1162689335"</f>
        <v>FES1162689335</v>
      </c>
      <c r="C1435" s="7">
        <v>43598</v>
      </c>
      <c r="D1435" s="6">
        <v>1</v>
      </c>
      <c r="E1435" s="6">
        <v>2170687892</v>
      </c>
      <c r="F1435" s="6" t="s">
        <v>16</v>
      </c>
      <c r="G1435" s="6" t="s">
        <v>17</v>
      </c>
      <c r="H1435" s="6" t="s">
        <v>17</v>
      </c>
      <c r="I1435" s="6" t="s">
        <v>701</v>
      </c>
      <c r="J1435" s="6" t="s">
        <v>2369</v>
      </c>
      <c r="K1435" s="7">
        <v>43599</v>
      </c>
      <c r="L1435" s="8">
        <v>0.43055555555555558</v>
      </c>
      <c r="M1435" s="6" t="s">
        <v>2370</v>
      </c>
      <c r="N1435" s="6" t="s">
        <v>21</v>
      </c>
      <c r="O1435" s="6" t="s">
        <v>22</v>
      </c>
    </row>
    <row r="1436" spans="1:15">
      <c r="A1436" s="6" t="s">
        <v>15</v>
      </c>
      <c r="B1436" s="6" t="str">
        <f>"FES1162689333"</f>
        <v>FES1162689333</v>
      </c>
      <c r="C1436" s="7">
        <v>43598</v>
      </c>
      <c r="D1436" s="6">
        <v>1</v>
      </c>
      <c r="E1436" s="6">
        <v>2170687890</v>
      </c>
      <c r="F1436" s="6" t="s">
        <v>16</v>
      </c>
      <c r="G1436" s="6" t="s">
        <v>17</v>
      </c>
      <c r="H1436" s="6" t="s">
        <v>17</v>
      </c>
      <c r="I1436" s="6" t="s">
        <v>701</v>
      </c>
      <c r="J1436" s="6" t="s">
        <v>2369</v>
      </c>
      <c r="K1436" s="7">
        <v>43599</v>
      </c>
      <c r="L1436" s="8">
        <v>0.42986111111111108</v>
      </c>
      <c r="M1436" s="6" t="s">
        <v>2370</v>
      </c>
      <c r="N1436" s="6" t="s">
        <v>21</v>
      </c>
      <c r="O1436" s="6" t="s">
        <v>22</v>
      </c>
    </row>
    <row r="1437" spans="1:15">
      <c r="A1437" s="6" t="s">
        <v>15</v>
      </c>
      <c r="B1437" s="6" t="str">
        <f>"FES1162689453"</f>
        <v>FES1162689453</v>
      </c>
      <c r="C1437" s="7">
        <v>43598</v>
      </c>
      <c r="D1437" s="6">
        <v>1</v>
      </c>
      <c r="E1437" s="6">
        <v>2170687705</v>
      </c>
      <c r="F1437" s="6" t="s">
        <v>16</v>
      </c>
      <c r="G1437" s="6" t="s">
        <v>17</v>
      </c>
      <c r="H1437" s="6" t="s">
        <v>17</v>
      </c>
      <c r="I1437" s="6" t="s">
        <v>18</v>
      </c>
      <c r="J1437" s="6" t="s">
        <v>1368</v>
      </c>
      <c r="K1437" s="7">
        <v>43599</v>
      </c>
      <c r="L1437" s="8">
        <v>0.3430555555555555</v>
      </c>
      <c r="M1437" s="6" t="s">
        <v>2054</v>
      </c>
      <c r="N1437" s="6" t="s">
        <v>21</v>
      </c>
      <c r="O1437" s="6" t="s">
        <v>22</v>
      </c>
    </row>
    <row r="1438" spans="1:15">
      <c r="A1438" s="6" t="s">
        <v>15</v>
      </c>
      <c r="B1438" s="6" t="str">
        <f>"FES1162689377"</f>
        <v>FES1162689377</v>
      </c>
      <c r="C1438" s="7">
        <v>43598</v>
      </c>
      <c r="D1438" s="6">
        <v>1</v>
      </c>
      <c r="E1438" s="6">
        <v>2170687571</v>
      </c>
      <c r="F1438" s="6" t="s">
        <v>16</v>
      </c>
      <c r="G1438" s="6" t="s">
        <v>17</v>
      </c>
      <c r="H1438" s="6" t="s">
        <v>17</v>
      </c>
      <c r="I1438" s="6" t="s">
        <v>18</v>
      </c>
      <c r="J1438" s="6" t="s">
        <v>114</v>
      </c>
      <c r="K1438" s="7">
        <v>43599</v>
      </c>
      <c r="L1438" s="8">
        <v>0.42291666666666666</v>
      </c>
      <c r="M1438" s="6" t="s">
        <v>2371</v>
      </c>
      <c r="N1438" s="6" t="s">
        <v>21</v>
      </c>
      <c r="O1438" s="6" t="s">
        <v>22</v>
      </c>
    </row>
    <row r="1439" spans="1:15">
      <c r="A1439" s="6" t="s">
        <v>15</v>
      </c>
      <c r="B1439" s="6" t="str">
        <f>"FES1162689350"</f>
        <v>FES1162689350</v>
      </c>
      <c r="C1439" s="7">
        <v>43598</v>
      </c>
      <c r="D1439" s="6">
        <v>1</v>
      </c>
      <c r="E1439" s="6">
        <v>2170687917</v>
      </c>
      <c r="F1439" s="6" t="s">
        <v>16</v>
      </c>
      <c r="G1439" s="6" t="s">
        <v>17</v>
      </c>
      <c r="H1439" s="6" t="s">
        <v>17</v>
      </c>
      <c r="I1439" s="6" t="s">
        <v>18</v>
      </c>
      <c r="J1439" s="6" t="s">
        <v>2372</v>
      </c>
      <c r="K1439" s="7">
        <v>43599</v>
      </c>
      <c r="L1439" s="8">
        <v>0.4291666666666667</v>
      </c>
      <c r="M1439" s="6" t="s">
        <v>2373</v>
      </c>
      <c r="N1439" s="6" t="s">
        <v>21</v>
      </c>
      <c r="O1439" s="6" t="s">
        <v>22</v>
      </c>
    </row>
    <row r="1440" spans="1:15">
      <c r="A1440" s="6" t="s">
        <v>15</v>
      </c>
      <c r="B1440" s="6" t="str">
        <f>"FES1162689429"</f>
        <v>FES1162689429</v>
      </c>
      <c r="C1440" s="7">
        <v>43598</v>
      </c>
      <c r="D1440" s="6">
        <v>1</v>
      </c>
      <c r="E1440" s="6">
        <v>2170688008</v>
      </c>
      <c r="F1440" s="6" t="s">
        <v>16</v>
      </c>
      <c r="G1440" s="6" t="s">
        <v>17</v>
      </c>
      <c r="H1440" s="6" t="s">
        <v>17</v>
      </c>
      <c r="I1440" s="6" t="s">
        <v>18</v>
      </c>
      <c r="J1440" s="6" t="s">
        <v>160</v>
      </c>
      <c r="K1440" s="7">
        <v>43599</v>
      </c>
      <c r="L1440" s="8">
        <v>0.33333333333333331</v>
      </c>
      <c r="M1440" s="6" t="s">
        <v>2374</v>
      </c>
      <c r="N1440" s="6" t="s">
        <v>21</v>
      </c>
      <c r="O1440" s="6" t="s">
        <v>22</v>
      </c>
    </row>
    <row r="1441" spans="1:15" hidden="1">
      <c r="A1441" t="s">
        <v>15</v>
      </c>
      <c r="B1441" t="str">
        <f>"RFES1162688706"</f>
        <v>RFES1162688706</v>
      </c>
      <c r="C1441" s="9">
        <v>43598</v>
      </c>
      <c r="D1441">
        <v>1</v>
      </c>
      <c r="E1441">
        <v>2170683800</v>
      </c>
      <c r="F1441" t="s">
        <v>58</v>
      </c>
      <c r="G1441" t="s">
        <v>1507</v>
      </c>
      <c r="H1441" t="s">
        <v>59</v>
      </c>
      <c r="I1441" t="s">
        <v>64</v>
      </c>
      <c r="J1441" t="s">
        <v>476</v>
      </c>
      <c r="K1441" s="9">
        <v>43599</v>
      </c>
      <c r="L1441" s="10">
        <v>0.51944444444444449</v>
      </c>
      <c r="M1441" t="s">
        <v>2375</v>
      </c>
      <c r="N1441" t="s">
        <v>2376</v>
      </c>
      <c r="O1441" t="s">
        <v>22</v>
      </c>
    </row>
    <row r="1442" spans="1:15">
      <c r="A1442" s="6" t="s">
        <v>15</v>
      </c>
      <c r="B1442" s="6" t="str">
        <f>"RFES1162688829"</f>
        <v>RFES1162688829</v>
      </c>
      <c r="C1442" s="7">
        <v>43598</v>
      </c>
      <c r="D1442" s="6">
        <v>1</v>
      </c>
      <c r="E1442" s="6">
        <v>2170685655</v>
      </c>
      <c r="F1442" s="6" t="s">
        <v>16</v>
      </c>
      <c r="G1442" s="6" t="s">
        <v>17</v>
      </c>
      <c r="H1442" s="6" t="s">
        <v>17</v>
      </c>
      <c r="I1442" s="6" t="s">
        <v>64</v>
      </c>
      <c r="J1442" s="6" t="s">
        <v>476</v>
      </c>
      <c r="K1442" s="7">
        <v>43599</v>
      </c>
      <c r="L1442" s="8">
        <v>0.40138888888888885</v>
      </c>
      <c r="M1442" s="6" t="s">
        <v>477</v>
      </c>
      <c r="N1442" s="6" t="s">
        <v>21</v>
      </c>
      <c r="O1442" s="6" t="s">
        <v>22</v>
      </c>
    </row>
    <row r="1443" spans="1:15">
      <c r="A1443" s="6" t="s">
        <v>15</v>
      </c>
      <c r="B1443" s="6" t="str">
        <f>"RFES1162688296"</f>
        <v>RFES1162688296</v>
      </c>
      <c r="C1443" s="7">
        <v>43598</v>
      </c>
      <c r="D1443" s="6">
        <v>1</v>
      </c>
      <c r="E1443" s="6">
        <v>2170687147</v>
      </c>
      <c r="F1443" s="6" t="s">
        <v>16</v>
      </c>
      <c r="G1443" s="6" t="s">
        <v>17</v>
      </c>
      <c r="H1443" s="6" t="s">
        <v>17</v>
      </c>
      <c r="I1443" s="6" t="s">
        <v>64</v>
      </c>
      <c r="J1443" s="6" t="s">
        <v>476</v>
      </c>
      <c r="K1443" s="7">
        <v>43599</v>
      </c>
      <c r="L1443" s="8">
        <v>0.39652777777777781</v>
      </c>
      <c r="M1443" s="6" t="s">
        <v>477</v>
      </c>
      <c r="N1443" s="6" t="s">
        <v>21</v>
      </c>
      <c r="O1443" s="6" t="s">
        <v>22</v>
      </c>
    </row>
    <row r="1444" spans="1:15">
      <c r="A1444" s="6" t="s">
        <v>15</v>
      </c>
      <c r="B1444" s="6" t="str">
        <f>"FES1162689385"</f>
        <v>FES1162689385</v>
      </c>
      <c r="C1444" s="7">
        <v>43598</v>
      </c>
      <c r="D1444" s="6">
        <v>1</v>
      </c>
      <c r="E1444" s="6">
        <v>2170687385</v>
      </c>
      <c r="F1444" s="6" t="s">
        <v>16</v>
      </c>
      <c r="G1444" s="6" t="s">
        <v>17</v>
      </c>
      <c r="H1444" s="6" t="s">
        <v>17</v>
      </c>
      <c r="I1444" s="6" t="s">
        <v>1376</v>
      </c>
      <c r="J1444" s="6" t="s">
        <v>1718</v>
      </c>
      <c r="K1444" s="7">
        <v>43599</v>
      </c>
      <c r="L1444" s="8">
        <v>0.33333333333333331</v>
      </c>
      <c r="M1444" s="6" t="s">
        <v>2377</v>
      </c>
      <c r="N1444" s="6" t="s">
        <v>21</v>
      </c>
      <c r="O1444" s="6" t="s">
        <v>22</v>
      </c>
    </row>
    <row r="1445" spans="1:15">
      <c r="A1445" s="6" t="s">
        <v>15</v>
      </c>
      <c r="B1445" s="6" t="str">
        <f>"FES1162689375"</f>
        <v>FES1162689375</v>
      </c>
      <c r="C1445" s="7">
        <v>43598</v>
      </c>
      <c r="D1445" s="6">
        <v>1</v>
      </c>
      <c r="E1445" s="6">
        <v>2170687472</v>
      </c>
      <c r="F1445" s="6" t="s">
        <v>16</v>
      </c>
      <c r="G1445" s="6" t="s">
        <v>17</v>
      </c>
      <c r="H1445" s="6" t="s">
        <v>17</v>
      </c>
      <c r="I1445" s="6" t="s">
        <v>1376</v>
      </c>
      <c r="J1445" s="6" t="s">
        <v>1718</v>
      </c>
      <c r="K1445" s="7">
        <v>43599</v>
      </c>
      <c r="L1445" s="8">
        <v>0.33333333333333331</v>
      </c>
      <c r="M1445" s="6" t="s">
        <v>2377</v>
      </c>
      <c r="N1445" s="6" t="s">
        <v>21</v>
      </c>
      <c r="O1445" s="6" t="s">
        <v>22</v>
      </c>
    </row>
    <row r="1446" spans="1:15">
      <c r="A1446" s="6" t="s">
        <v>15</v>
      </c>
      <c r="B1446" s="6" t="str">
        <f>"FES1162688904"</f>
        <v>FES1162688904</v>
      </c>
      <c r="C1446" s="7">
        <v>43598</v>
      </c>
      <c r="D1446" s="6">
        <v>1</v>
      </c>
      <c r="E1446" s="6">
        <v>2170686584</v>
      </c>
      <c r="F1446" s="6" t="s">
        <v>16</v>
      </c>
      <c r="G1446" s="6" t="s">
        <v>17</v>
      </c>
      <c r="H1446" s="6" t="s">
        <v>17</v>
      </c>
      <c r="I1446" s="6" t="s">
        <v>720</v>
      </c>
      <c r="J1446" s="6" t="s">
        <v>721</v>
      </c>
      <c r="K1446" s="7">
        <v>43599</v>
      </c>
      <c r="L1446" s="8">
        <v>0.44444444444444442</v>
      </c>
      <c r="M1446" s="6" t="s">
        <v>2378</v>
      </c>
      <c r="N1446" s="6" t="s">
        <v>21</v>
      </c>
      <c r="O1446" s="6" t="s">
        <v>22</v>
      </c>
    </row>
    <row r="1447" spans="1:15">
      <c r="A1447" s="6" t="s">
        <v>15</v>
      </c>
      <c r="B1447" s="6" t="str">
        <f>"FES1162688777"</f>
        <v>FES1162688777</v>
      </c>
      <c r="C1447" s="7">
        <v>43598</v>
      </c>
      <c r="D1447" s="6">
        <v>1</v>
      </c>
      <c r="E1447" s="6">
        <v>2170686584</v>
      </c>
      <c r="F1447" s="6" t="s">
        <v>16</v>
      </c>
      <c r="G1447" s="6" t="s">
        <v>17</v>
      </c>
      <c r="H1447" s="6" t="s">
        <v>17</v>
      </c>
      <c r="I1447" s="6" t="s">
        <v>720</v>
      </c>
      <c r="J1447" s="6" t="s">
        <v>721</v>
      </c>
      <c r="K1447" s="7">
        <v>43599</v>
      </c>
      <c r="L1447" s="8">
        <v>0.43055555555555558</v>
      </c>
      <c r="M1447" s="6" t="s">
        <v>2378</v>
      </c>
      <c r="N1447" s="6" t="s">
        <v>21</v>
      </c>
      <c r="O1447" s="6" t="s">
        <v>22</v>
      </c>
    </row>
    <row r="1448" spans="1:15">
      <c r="A1448" s="6" t="s">
        <v>15</v>
      </c>
      <c r="B1448" s="6" t="str">
        <f>"FES1162689316"</f>
        <v>FES1162689316</v>
      </c>
      <c r="C1448" s="7">
        <v>43598</v>
      </c>
      <c r="D1448" s="6">
        <v>1</v>
      </c>
      <c r="E1448" s="6">
        <v>2170686584</v>
      </c>
      <c r="F1448" s="6" t="s">
        <v>16</v>
      </c>
      <c r="G1448" s="6" t="s">
        <v>17</v>
      </c>
      <c r="H1448" s="6" t="s">
        <v>17</v>
      </c>
      <c r="I1448" s="6" t="s">
        <v>720</v>
      </c>
      <c r="J1448" s="6" t="s">
        <v>721</v>
      </c>
      <c r="K1448" s="7">
        <v>43599</v>
      </c>
      <c r="L1448" s="8">
        <v>0.43055555555555558</v>
      </c>
      <c r="M1448" s="6" t="s">
        <v>2378</v>
      </c>
      <c r="N1448" s="6" t="s">
        <v>21</v>
      </c>
      <c r="O1448" s="6" t="s">
        <v>22</v>
      </c>
    </row>
    <row r="1449" spans="1:15">
      <c r="A1449" s="6" t="s">
        <v>15</v>
      </c>
      <c r="B1449" s="6" t="str">
        <f>"FES1162688990"</f>
        <v>FES1162688990</v>
      </c>
      <c r="C1449" s="7">
        <v>43598</v>
      </c>
      <c r="D1449" s="6">
        <v>1</v>
      </c>
      <c r="E1449" s="6">
        <v>2170687581</v>
      </c>
      <c r="F1449" s="6" t="s">
        <v>16</v>
      </c>
      <c r="G1449" s="6" t="s">
        <v>17</v>
      </c>
      <c r="H1449" s="6" t="s">
        <v>17</v>
      </c>
      <c r="I1449" s="6" t="s">
        <v>64</v>
      </c>
      <c r="J1449" s="6" t="s">
        <v>2379</v>
      </c>
      <c r="K1449" s="7">
        <v>43599</v>
      </c>
      <c r="L1449" s="8">
        <v>0.33333333333333331</v>
      </c>
      <c r="M1449" s="6" t="s">
        <v>2380</v>
      </c>
      <c r="N1449" s="6" t="s">
        <v>21</v>
      </c>
      <c r="O1449" s="6" t="s">
        <v>22</v>
      </c>
    </row>
    <row r="1450" spans="1:15">
      <c r="A1450" s="6" t="s">
        <v>15</v>
      </c>
      <c r="B1450" s="6" t="str">
        <f>"FES1162689336"</f>
        <v>FES1162689336</v>
      </c>
      <c r="C1450" s="7">
        <v>43598</v>
      </c>
      <c r="D1450" s="6">
        <v>1</v>
      </c>
      <c r="E1450" s="6">
        <v>2170687894</v>
      </c>
      <c r="F1450" s="6" t="s">
        <v>16</v>
      </c>
      <c r="G1450" s="6" t="s">
        <v>17</v>
      </c>
      <c r="H1450" s="6" t="s">
        <v>17</v>
      </c>
      <c r="I1450" s="6" t="s">
        <v>103</v>
      </c>
      <c r="J1450" s="6" t="s">
        <v>2381</v>
      </c>
      <c r="K1450" s="7">
        <v>43599</v>
      </c>
      <c r="L1450" s="8">
        <v>0.43402777777777773</v>
      </c>
      <c r="M1450" s="6" t="s">
        <v>2382</v>
      </c>
      <c r="N1450" s="6" t="s">
        <v>21</v>
      </c>
      <c r="O1450" s="6" t="s">
        <v>22</v>
      </c>
    </row>
    <row r="1451" spans="1:15">
      <c r="A1451" s="6" t="s">
        <v>15</v>
      </c>
      <c r="B1451" s="6" t="str">
        <f>"019911527115"</f>
        <v>019911527115</v>
      </c>
      <c r="C1451" s="7">
        <v>43598</v>
      </c>
      <c r="D1451" s="6">
        <v>1</v>
      </c>
      <c r="E1451" s="6" t="s">
        <v>2383</v>
      </c>
      <c r="F1451" s="6" t="s">
        <v>16</v>
      </c>
      <c r="G1451" s="6" t="s">
        <v>43</v>
      </c>
      <c r="H1451" s="6" t="s">
        <v>17</v>
      </c>
      <c r="I1451" s="6" t="s">
        <v>64</v>
      </c>
      <c r="J1451" s="6" t="s">
        <v>1061</v>
      </c>
      <c r="K1451" s="7">
        <v>43599</v>
      </c>
      <c r="L1451" s="8">
        <v>0.39999999999999997</v>
      </c>
      <c r="M1451" s="6" t="s">
        <v>477</v>
      </c>
      <c r="N1451" s="6" t="s">
        <v>21</v>
      </c>
      <c r="O1451" s="6" t="s">
        <v>22</v>
      </c>
    </row>
    <row r="1452" spans="1:15" hidden="1">
      <c r="A1452" t="s">
        <v>15</v>
      </c>
      <c r="B1452" t="str">
        <f>"029908450550"</f>
        <v>029908450550</v>
      </c>
      <c r="C1452" s="9">
        <v>43598</v>
      </c>
      <c r="D1452">
        <v>1</v>
      </c>
      <c r="E1452" t="s">
        <v>22</v>
      </c>
      <c r="F1452" t="s">
        <v>16</v>
      </c>
      <c r="G1452" t="s">
        <v>141</v>
      </c>
      <c r="H1452" t="s">
        <v>59</v>
      </c>
      <c r="I1452" t="s">
        <v>64</v>
      </c>
      <c r="J1452" t="s">
        <v>1061</v>
      </c>
      <c r="K1452" s="9">
        <v>43599</v>
      </c>
      <c r="L1452" s="10">
        <v>0.39652777777777781</v>
      </c>
      <c r="M1452" t="s">
        <v>477</v>
      </c>
      <c r="N1452" t="s">
        <v>2384</v>
      </c>
      <c r="O1452" t="s">
        <v>22</v>
      </c>
    </row>
    <row r="1453" spans="1:15" hidden="1">
      <c r="A1453" t="s">
        <v>15</v>
      </c>
      <c r="B1453" t="str">
        <f>"FES1162689351"</f>
        <v>FES1162689351</v>
      </c>
      <c r="C1453" s="9">
        <v>43598</v>
      </c>
      <c r="D1453">
        <v>1</v>
      </c>
      <c r="E1453">
        <v>2170687921</v>
      </c>
      <c r="F1453" t="s">
        <v>16</v>
      </c>
      <c r="G1453" t="s">
        <v>17</v>
      </c>
      <c r="H1453" t="s">
        <v>43</v>
      </c>
      <c r="I1453" t="s">
        <v>44</v>
      </c>
      <c r="J1453" t="s">
        <v>207</v>
      </c>
      <c r="K1453" s="9">
        <v>43600</v>
      </c>
      <c r="L1453" s="10">
        <v>0.41666666666666669</v>
      </c>
      <c r="M1453" t="s">
        <v>1265</v>
      </c>
      <c r="N1453" t="s">
        <v>2385</v>
      </c>
      <c r="O1453" t="s">
        <v>22</v>
      </c>
    </row>
    <row r="1454" spans="1:15">
      <c r="A1454" s="6" t="s">
        <v>15</v>
      </c>
      <c r="B1454" s="6" t="str">
        <f>"FES1162689505"</f>
        <v>FES1162689505</v>
      </c>
      <c r="C1454" s="7">
        <v>43598</v>
      </c>
      <c r="D1454" s="6">
        <v>1</v>
      </c>
      <c r="E1454" s="6">
        <v>2170688077</v>
      </c>
      <c r="F1454" s="6" t="s">
        <v>16</v>
      </c>
      <c r="G1454" s="6" t="s">
        <v>17</v>
      </c>
      <c r="H1454" s="6" t="s">
        <v>17</v>
      </c>
      <c r="I1454" s="6" t="s">
        <v>26</v>
      </c>
      <c r="J1454" s="6" t="s">
        <v>2386</v>
      </c>
      <c r="K1454" s="7">
        <v>43599</v>
      </c>
      <c r="L1454" s="8">
        <v>0.3979166666666667</v>
      </c>
      <c r="M1454" s="6" t="s">
        <v>2387</v>
      </c>
      <c r="N1454" s="6" t="s">
        <v>21</v>
      </c>
      <c r="O1454" s="6" t="s">
        <v>22</v>
      </c>
    </row>
    <row r="1455" spans="1:15" hidden="1">
      <c r="A1455" t="s">
        <v>15</v>
      </c>
      <c r="B1455" t="str">
        <f>"FES1162689382"</f>
        <v>FES1162689382</v>
      </c>
      <c r="C1455" s="9">
        <v>43598</v>
      </c>
      <c r="D1455">
        <v>1</v>
      </c>
      <c r="E1455">
        <v>217687953</v>
      </c>
      <c r="F1455" t="s">
        <v>16</v>
      </c>
      <c r="G1455" t="s">
        <v>17</v>
      </c>
      <c r="H1455" t="s">
        <v>141</v>
      </c>
      <c r="I1455" t="s">
        <v>142</v>
      </c>
      <c r="J1455" t="s">
        <v>195</v>
      </c>
      <c r="K1455" s="9">
        <v>43599</v>
      </c>
      <c r="L1455" s="10">
        <v>0.40486111111111112</v>
      </c>
      <c r="M1455" t="s">
        <v>2314</v>
      </c>
      <c r="N1455" t="s">
        <v>2388</v>
      </c>
      <c r="O1455" t="s">
        <v>22</v>
      </c>
    </row>
    <row r="1456" spans="1:15" hidden="1">
      <c r="A1456" t="s">
        <v>15</v>
      </c>
      <c r="B1456" t="str">
        <f>"FES1162689386"</f>
        <v>FES1162689386</v>
      </c>
      <c r="C1456" s="9">
        <v>43598</v>
      </c>
      <c r="D1456">
        <v>1</v>
      </c>
      <c r="E1456">
        <v>217687125</v>
      </c>
      <c r="F1456" t="s">
        <v>16</v>
      </c>
      <c r="G1456" t="s">
        <v>17</v>
      </c>
      <c r="H1456" t="s">
        <v>141</v>
      </c>
      <c r="I1456" t="s">
        <v>185</v>
      </c>
      <c r="J1456" t="s">
        <v>452</v>
      </c>
      <c r="K1456" s="9">
        <v>43599</v>
      </c>
      <c r="L1456" s="10">
        <v>0.41388888888888892</v>
      </c>
      <c r="M1456" t="s">
        <v>2151</v>
      </c>
      <c r="N1456" t="s">
        <v>2388</v>
      </c>
      <c r="O1456" t="s">
        <v>22</v>
      </c>
    </row>
    <row r="1457" spans="1:15" hidden="1">
      <c r="A1457" t="s">
        <v>15</v>
      </c>
      <c r="B1457" t="str">
        <f>"FES1162689408"</f>
        <v>FES1162689408</v>
      </c>
      <c r="C1457" s="9">
        <v>43598</v>
      </c>
      <c r="D1457">
        <v>1</v>
      </c>
      <c r="E1457">
        <v>2170687971</v>
      </c>
      <c r="F1457" t="s">
        <v>16</v>
      </c>
      <c r="G1457" t="s">
        <v>17</v>
      </c>
      <c r="H1457" t="s">
        <v>141</v>
      </c>
      <c r="I1457" t="s">
        <v>185</v>
      </c>
      <c r="J1457" t="s">
        <v>210</v>
      </c>
      <c r="K1457" s="9">
        <v>43599</v>
      </c>
      <c r="L1457" s="10">
        <v>0.3298611111111111</v>
      </c>
      <c r="M1457" t="s">
        <v>211</v>
      </c>
      <c r="N1457" t="s">
        <v>2388</v>
      </c>
      <c r="O1457" t="s">
        <v>22</v>
      </c>
    </row>
    <row r="1458" spans="1:15" hidden="1">
      <c r="A1458" t="s">
        <v>15</v>
      </c>
      <c r="B1458" t="str">
        <f>"FES1162689354"</f>
        <v>FES1162689354</v>
      </c>
      <c r="C1458" s="9">
        <v>43598</v>
      </c>
      <c r="D1458">
        <v>1</v>
      </c>
      <c r="E1458">
        <v>2170687926</v>
      </c>
      <c r="F1458" t="s">
        <v>16</v>
      </c>
      <c r="G1458" t="s">
        <v>17</v>
      </c>
      <c r="H1458" t="s">
        <v>141</v>
      </c>
      <c r="I1458" t="s">
        <v>142</v>
      </c>
      <c r="J1458" t="s">
        <v>2389</v>
      </c>
      <c r="K1458" s="9">
        <v>43599</v>
      </c>
      <c r="L1458" s="10">
        <v>0.39444444444444443</v>
      </c>
      <c r="M1458" t="s">
        <v>645</v>
      </c>
      <c r="N1458" t="s">
        <v>2388</v>
      </c>
      <c r="O1458" t="s">
        <v>22</v>
      </c>
    </row>
    <row r="1459" spans="1:15" hidden="1">
      <c r="A1459" t="s">
        <v>15</v>
      </c>
      <c r="B1459" t="str">
        <f>"FES1162689328"</f>
        <v>FES1162689328</v>
      </c>
      <c r="C1459" s="9">
        <v>43598</v>
      </c>
      <c r="D1459">
        <v>1</v>
      </c>
      <c r="E1459">
        <v>2172687880</v>
      </c>
      <c r="F1459" t="s">
        <v>16</v>
      </c>
      <c r="G1459" t="s">
        <v>17</v>
      </c>
      <c r="H1459" t="s">
        <v>141</v>
      </c>
      <c r="I1459" t="s">
        <v>185</v>
      </c>
      <c r="J1459" t="s">
        <v>1011</v>
      </c>
      <c r="K1459" s="9">
        <v>43599</v>
      </c>
      <c r="L1459" s="10">
        <v>0.33958333333333335</v>
      </c>
      <c r="M1459" t="s">
        <v>1012</v>
      </c>
      <c r="N1459" t="s">
        <v>2388</v>
      </c>
      <c r="O1459" t="s">
        <v>22</v>
      </c>
    </row>
    <row r="1460" spans="1:15" hidden="1">
      <c r="A1460" t="s">
        <v>15</v>
      </c>
      <c r="B1460" t="str">
        <f>"FES1162689322"</f>
        <v>FES1162689322</v>
      </c>
      <c r="C1460" s="9">
        <v>43598</v>
      </c>
      <c r="D1460">
        <v>1</v>
      </c>
      <c r="E1460">
        <v>21706587674</v>
      </c>
      <c r="F1460" t="s">
        <v>16</v>
      </c>
      <c r="G1460" t="s">
        <v>17</v>
      </c>
      <c r="H1460" t="s">
        <v>141</v>
      </c>
      <c r="I1460" t="s">
        <v>448</v>
      </c>
      <c r="J1460" t="s">
        <v>1869</v>
      </c>
      <c r="K1460" s="9">
        <v>43599</v>
      </c>
      <c r="L1460" s="10">
        <v>0.33263888888888887</v>
      </c>
      <c r="M1460" t="s">
        <v>2390</v>
      </c>
      <c r="N1460" t="s">
        <v>2388</v>
      </c>
      <c r="O1460" t="s">
        <v>22</v>
      </c>
    </row>
    <row r="1461" spans="1:15" hidden="1">
      <c r="A1461" t="s">
        <v>15</v>
      </c>
      <c r="B1461" t="str">
        <f>"FES1162689436"</f>
        <v>FES1162689436</v>
      </c>
      <c r="C1461" s="9">
        <v>43598</v>
      </c>
      <c r="D1461">
        <v>1</v>
      </c>
      <c r="E1461">
        <v>2170684858</v>
      </c>
      <c r="F1461" t="s">
        <v>16</v>
      </c>
      <c r="G1461" t="s">
        <v>17</v>
      </c>
      <c r="H1461" t="s">
        <v>141</v>
      </c>
      <c r="I1461" t="s">
        <v>185</v>
      </c>
      <c r="J1461" t="s">
        <v>515</v>
      </c>
      <c r="K1461" s="9">
        <v>43599</v>
      </c>
      <c r="L1461" s="10">
        <v>0.3666666666666667</v>
      </c>
      <c r="M1461" t="s">
        <v>2391</v>
      </c>
      <c r="N1461" t="s">
        <v>2388</v>
      </c>
      <c r="O1461" t="s">
        <v>22</v>
      </c>
    </row>
    <row r="1462" spans="1:15" hidden="1">
      <c r="A1462" t="s">
        <v>15</v>
      </c>
      <c r="B1462" t="str">
        <f>"FES1162689443"</f>
        <v>FES1162689443</v>
      </c>
      <c r="C1462" s="9">
        <v>43598</v>
      </c>
      <c r="D1462">
        <v>1</v>
      </c>
      <c r="E1462">
        <v>2170663919</v>
      </c>
      <c r="F1462" t="s">
        <v>16</v>
      </c>
      <c r="G1462" t="s">
        <v>17</v>
      </c>
      <c r="H1462" t="s">
        <v>1420</v>
      </c>
      <c r="I1462" t="s">
        <v>1421</v>
      </c>
      <c r="J1462" t="s">
        <v>2392</v>
      </c>
      <c r="K1462" s="9">
        <v>43599</v>
      </c>
      <c r="L1462" s="10">
        <v>0.4381944444444445</v>
      </c>
      <c r="M1462" t="s">
        <v>2393</v>
      </c>
      <c r="N1462" t="s">
        <v>2394</v>
      </c>
      <c r="O1462" t="s">
        <v>22</v>
      </c>
    </row>
    <row r="1463" spans="1:15" hidden="1">
      <c r="A1463" t="s">
        <v>15</v>
      </c>
      <c r="B1463" t="str">
        <f>"FES1162689373"</f>
        <v>FES1162689373</v>
      </c>
      <c r="C1463" s="9">
        <v>43598</v>
      </c>
      <c r="D1463">
        <v>1</v>
      </c>
      <c r="E1463">
        <v>2170687949</v>
      </c>
      <c r="F1463" t="s">
        <v>16</v>
      </c>
      <c r="G1463" t="s">
        <v>17</v>
      </c>
      <c r="H1463" t="s">
        <v>141</v>
      </c>
      <c r="I1463" t="s">
        <v>448</v>
      </c>
      <c r="J1463" t="s">
        <v>979</v>
      </c>
      <c r="K1463" s="9">
        <v>43599</v>
      </c>
      <c r="L1463" s="10">
        <v>0.3888888888888889</v>
      </c>
      <c r="M1463" t="s">
        <v>2395</v>
      </c>
      <c r="N1463" t="s">
        <v>2366</v>
      </c>
      <c r="O1463" t="s">
        <v>22</v>
      </c>
    </row>
    <row r="1464" spans="1:15" hidden="1">
      <c r="A1464" t="s">
        <v>15</v>
      </c>
      <c r="B1464" t="str">
        <f>"FES1162689327"</f>
        <v>FES1162689327</v>
      </c>
      <c r="C1464" s="9">
        <v>43598</v>
      </c>
      <c r="D1464">
        <v>1</v>
      </c>
      <c r="E1464">
        <v>2170687874</v>
      </c>
      <c r="F1464" t="s">
        <v>16</v>
      </c>
      <c r="G1464" t="s">
        <v>17</v>
      </c>
      <c r="H1464" t="s">
        <v>141</v>
      </c>
      <c r="I1464" t="s">
        <v>142</v>
      </c>
      <c r="J1464" t="s">
        <v>228</v>
      </c>
      <c r="K1464" s="9">
        <v>43599</v>
      </c>
      <c r="L1464" s="10">
        <v>0.40902777777777777</v>
      </c>
      <c r="M1464" t="s">
        <v>229</v>
      </c>
      <c r="N1464" t="s">
        <v>2366</v>
      </c>
      <c r="O1464" t="s">
        <v>22</v>
      </c>
    </row>
    <row r="1465" spans="1:15" hidden="1">
      <c r="A1465" t="s">
        <v>15</v>
      </c>
      <c r="B1465" t="str">
        <f>"FES1162689357"</f>
        <v>FES1162689357</v>
      </c>
      <c r="C1465" s="9">
        <v>43598</v>
      </c>
      <c r="D1465">
        <v>1</v>
      </c>
      <c r="E1465">
        <v>2170687929</v>
      </c>
      <c r="F1465" t="s">
        <v>16</v>
      </c>
      <c r="G1465" t="s">
        <v>17</v>
      </c>
      <c r="H1465" t="s">
        <v>141</v>
      </c>
      <c r="I1465" t="s">
        <v>142</v>
      </c>
      <c r="J1465" t="s">
        <v>213</v>
      </c>
      <c r="K1465" s="9">
        <v>43599</v>
      </c>
      <c r="L1465" s="10">
        <v>0.37152777777777773</v>
      </c>
      <c r="M1465" t="s">
        <v>214</v>
      </c>
      <c r="N1465" t="s">
        <v>2366</v>
      </c>
      <c r="O1465" t="s">
        <v>22</v>
      </c>
    </row>
    <row r="1466" spans="1:15" hidden="1">
      <c r="A1466" t="s">
        <v>15</v>
      </c>
      <c r="B1466" t="str">
        <f>"FES1162689444"</f>
        <v>FES1162689444</v>
      </c>
      <c r="C1466" s="9">
        <v>43598</v>
      </c>
      <c r="D1466">
        <v>1</v>
      </c>
      <c r="E1466">
        <v>2170683427</v>
      </c>
      <c r="F1466" t="s">
        <v>16</v>
      </c>
      <c r="G1466" t="s">
        <v>17</v>
      </c>
      <c r="H1466" t="s">
        <v>141</v>
      </c>
      <c r="I1466" t="s">
        <v>142</v>
      </c>
      <c r="J1466" t="s">
        <v>864</v>
      </c>
      <c r="K1466" s="9">
        <v>43599</v>
      </c>
      <c r="L1466" s="10">
        <v>0.33611111111111108</v>
      </c>
      <c r="M1466" t="s">
        <v>2254</v>
      </c>
      <c r="N1466" t="s">
        <v>2366</v>
      </c>
      <c r="O1466" t="s">
        <v>22</v>
      </c>
    </row>
    <row r="1467" spans="1:15" hidden="1">
      <c r="A1467" t="s">
        <v>15</v>
      </c>
      <c r="B1467" t="str">
        <f>"FES1162689433"</f>
        <v>FES1162689433</v>
      </c>
      <c r="C1467" s="9">
        <v>43598</v>
      </c>
      <c r="D1467">
        <v>1</v>
      </c>
      <c r="E1467">
        <v>2170684195</v>
      </c>
      <c r="F1467" t="s">
        <v>16</v>
      </c>
      <c r="G1467" t="s">
        <v>17</v>
      </c>
      <c r="H1467" t="s">
        <v>141</v>
      </c>
      <c r="I1467" t="s">
        <v>142</v>
      </c>
      <c r="J1467" t="s">
        <v>2396</v>
      </c>
      <c r="K1467" s="9">
        <v>43599</v>
      </c>
      <c r="L1467" s="10">
        <v>0.41250000000000003</v>
      </c>
      <c r="M1467" t="s">
        <v>2397</v>
      </c>
      <c r="N1467" t="s">
        <v>2366</v>
      </c>
      <c r="O1467" t="s">
        <v>22</v>
      </c>
    </row>
    <row r="1468" spans="1:15" hidden="1">
      <c r="A1468" t="s">
        <v>15</v>
      </c>
      <c r="B1468" t="str">
        <f>"FES1162689502"</f>
        <v>FES1162689502</v>
      </c>
      <c r="C1468" s="9">
        <v>43598</v>
      </c>
      <c r="D1468">
        <v>1</v>
      </c>
      <c r="E1468">
        <v>2170688072</v>
      </c>
      <c r="F1468" t="s">
        <v>16</v>
      </c>
      <c r="G1468" t="s">
        <v>17</v>
      </c>
      <c r="H1468" t="s">
        <v>141</v>
      </c>
      <c r="I1468" t="s">
        <v>142</v>
      </c>
      <c r="J1468" t="s">
        <v>2398</v>
      </c>
      <c r="K1468" s="9">
        <v>43599</v>
      </c>
      <c r="L1468" s="10">
        <v>0.3298611111111111</v>
      </c>
      <c r="M1468" t="s">
        <v>2399</v>
      </c>
      <c r="N1468" t="s">
        <v>2366</v>
      </c>
      <c r="O1468" t="s">
        <v>22</v>
      </c>
    </row>
    <row r="1469" spans="1:15" hidden="1">
      <c r="A1469" t="s">
        <v>15</v>
      </c>
      <c r="B1469" t="str">
        <f>"FES1162689515"</f>
        <v>FES1162689515</v>
      </c>
      <c r="C1469" s="9">
        <v>43598</v>
      </c>
      <c r="D1469">
        <v>1</v>
      </c>
      <c r="E1469">
        <v>2170687788</v>
      </c>
      <c r="F1469" t="s">
        <v>16</v>
      </c>
      <c r="G1469" t="s">
        <v>17</v>
      </c>
      <c r="H1469" t="s">
        <v>141</v>
      </c>
      <c r="I1469" t="s">
        <v>142</v>
      </c>
      <c r="J1469" t="s">
        <v>213</v>
      </c>
      <c r="K1469" s="9">
        <v>43599</v>
      </c>
      <c r="L1469" s="10">
        <v>0.36805555555555558</v>
      </c>
      <c r="M1469" t="s">
        <v>2400</v>
      </c>
      <c r="N1469" t="s">
        <v>2366</v>
      </c>
      <c r="O1469" t="s">
        <v>22</v>
      </c>
    </row>
    <row r="1470" spans="1:15" hidden="1">
      <c r="A1470" t="s">
        <v>15</v>
      </c>
      <c r="B1470" t="str">
        <f>"FES1162689347"</f>
        <v>FES1162689347</v>
      </c>
      <c r="C1470" s="9">
        <v>43598</v>
      </c>
      <c r="D1470">
        <v>1</v>
      </c>
      <c r="E1470">
        <v>21706879117</v>
      </c>
      <c r="F1470" t="s">
        <v>16</v>
      </c>
      <c r="G1470" t="s">
        <v>17</v>
      </c>
      <c r="H1470" t="s">
        <v>141</v>
      </c>
      <c r="I1470" t="s">
        <v>185</v>
      </c>
      <c r="J1470" t="s">
        <v>1916</v>
      </c>
      <c r="K1470" s="9">
        <v>43599</v>
      </c>
      <c r="L1470" s="10">
        <v>0.34861111111111115</v>
      </c>
      <c r="M1470" t="s">
        <v>2401</v>
      </c>
      <c r="N1470" t="s">
        <v>2388</v>
      </c>
      <c r="O1470" t="s">
        <v>22</v>
      </c>
    </row>
    <row r="1471" spans="1:15" hidden="1">
      <c r="A1471" t="s">
        <v>15</v>
      </c>
      <c r="B1471" t="str">
        <f>"FES1162689353"</f>
        <v>FES1162689353</v>
      </c>
      <c r="C1471" s="9">
        <v>43598</v>
      </c>
      <c r="D1471">
        <v>1</v>
      </c>
      <c r="E1471">
        <v>2170687924</v>
      </c>
      <c r="F1471" t="s">
        <v>16</v>
      </c>
      <c r="G1471" t="s">
        <v>17</v>
      </c>
      <c r="H1471" t="s">
        <v>141</v>
      </c>
      <c r="I1471" t="s">
        <v>448</v>
      </c>
      <c r="J1471" t="s">
        <v>2064</v>
      </c>
      <c r="K1471" s="9">
        <v>43599</v>
      </c>
      <c r="L1471" s="10">
        <v>0.32847222222222222</v>
      </c>
      <c r="M1471" t="s">
        <v>2065</v>
      </c>
      <c r="N1471" t="s">
        <v>2388</v>
      </c>
      <c r="O1471" t="s">
        <v>22</v>
      </c>
    </row>
    <row r="1472" spans="1:15" hidden="1">
      <c r="A1472" t="s">
        <v>15</v>
      </c>
      <c r="B1472" t="str">
        <f>"FES1162689410"</f>
        <v>FES1162689410</v>
      </c>
      <c r="C1472" s="9">
        <v>43598</v>
      </c>
      <c r="D1472">
        <v>1</v>
      </c>
      <c r="E1472">
        <v>2170687973</v>
      </c>
      <c r="F1472" t="s">
        <v>16</v>
      </c>
      <c r="G1472" t="s">
        <v>17</v>
      </c>
      <c r="H1472" t="s">
        <v>141</v>
      </c>
      <c r="I1472" t="s">
        <v>185</v>
      </c>
      <c r="J1472" t="s">
        <v>186</v>
      </c>
      <c r="K1472" s="9">
        <v>43599</v>
      </c>
      <c r="L1472" s="10">
        <v>0.40833333333333338</v>
      </c>
      <c r="M1472" t="s">
        <v>1305</v>
      </c>
      <c r="N1472" t="s">
        <v>2388</v>
      </c>
      <c r="O1472" t="s">
        <v>22</v>
      </c>
    </row>
    <row r="1473" spans="1:15" hidden="1">
      <c r="A1473" t="s">
        <v>15</v>
      </c>
      <c r="B1473" t="str">
        <f>"FES1162689392"</f>
        <v>FES1162689392</v>
      </c>
      <c r="C1473" s="9">
        <v>43598</v>
      </c>
      <c r="D1473">
        <v>1</v>
      </c>
      <c r="E1473">
        <v>217067918</v>
      </c>
      <c r="F1473" t="s">
        <v>16</v>
      </c>
      <c r="G1473" t="s">
        <v>17</v>
      </c>
      <c r="H1473" t="s">
        <v>141</v>
      </c>
      <c r="I1473" t="s">
        <v>142</v>
      </c>
      <c r="J1473" t="s">
        <v>1380</v>
      </c>
      <c r="K1473" s="9">
        <v>43599</v>
      </c>
      <c r="L1473" s="10">
        <v>0.35555555555555557</v>
      </c>
      <c r="M1473" t="s">
        <v>2402</v>
      </c>
      <c r="N1473" t="s">
        <v>2403</v>
      </c>
      <c r="O1473" t="s">
        <v>22</v>
      </c>
    </row>
    <row r="1474" spans="1:15" hidden="1">
      <c r="A1474" t="s">
        <v>15</v>
      </c>
      <c r="B1474" t="str">
        <f>"FES1162689388"</f>
        <v>FES1162689388</v>
      </c>
      <c r="C1474" s="9">
        <v>43598</v>
      </c>
      <c r="D1474">
        <v>1</v>
      </c>
      <c r="E1474">
        <v>2170687726</v>
      </c>
      <c r="F1474" t="s">
        <v>16</v>
      </c>
      <c r="G1474" t="s">
        <v>17</v>
      </c>
      <c r="H1474" t="s">
        <v>141</v>
      </c>
      <c r="I1474" t="s">
        <v>185</v>
      </c>
      <c r="J1474" t="s">
        <v>473</v>
      </c>
      <c r="K1474" s="9">
        <v>43599</v>
      </c>
      <c r="L1474" s="10">
        <v>0.40625</v>
      </c>
      <c r="M1474" t="s">
        <v>1355</v>
      </c>
      <c r="N1474" t="s">
        <v>2388</v>
      </c>
      <c r="O1474" t="s">
        <v>22</v>
      </c>
    </row>
    <row r="1475" spans="1:15" hidden="1">
      <c r="A1475" t="s">
        <v>15</v>
      </c>
      <c r="B1475" t="str">
        <f>"FES1162689448"</f>
        <v>FES1162689448</v>
      </c>
      <c r="C1475" s="9">
        <v>43598</v>
      </c>
      <c r="D1475">
        <v>1</v>
      </c>
      <c r="E1475">
        <v>2170663919</v>
      </c>
      <c r="F1475" t="s">
        <v>16</v>
      </c>
      <c r="G1475" t="s">
        <v>17</v>
      </c>
      <c r="H1475" t="s">
        <v>1420</v>
      </c>
      <c r="I1475" t="s">
        <v>1421</v>
      </c>
      <c r="J1475" t="s">
        <v>2392</v>
      </c>
      <c r="K1475" s="9">
        <v>43599</v>
      </c>
      <c r="L1475" s="10">
        <v>0.4375</v>
      </c>
      <c r="M1475" t="s">
        <v>2393</v>
      </c>
      <c r="N1475" t="s">
        <v>2404</v>
      </c>
      <c r="O1475" t="s">
        <v>22</v>
      </c>
    </row>
    <row r="1476" spans="1:15" hidden="1">
      <c r="A1476" t="s">
        <v>15</v>
      </c>
      <c r="B1476" t="str">
        <f>"FES1162689428"</f>
        <v>FES1162689428</v>
      </c>
      <c r="C1476" s="9">
        <v>43598</v>
      </c>
      <c r="D1476">
        <v>1</v>
      </c>
      <c r="E1476">
        <v>2170688006</v>
      </c>
      <c r="F1476" t="s">
        <v>16</v>
      </c>
      <c r="G1476" t="s">
        <v>17</v>
      </c>
      <c r="H1476" t="s">
        <v>141</v>
      </c>
      <c r="I1476" t="s">
        <v>142</v>
      </c>
      <c r="J1476" t="s">
        <v>213</v>
      </c>
      <c r="K1476" s="9">
        <v>43599</v>
      </c>
      <c r="L1476" s="10">
        <v>0.37152777777777773</v>
      </c>
      <c r="M1476" t="s">
        <v>214</v>
      </c>
      <c r="N1476" t="s">
        <v>2366</v>
      </c>
      <c r="O1476" t="s">
        <v>22</v>
      </c>
    </row>
    <row r="1477" spans="1:15" hidden="1">
      <c r="A1477" t="s">
        <v>15</v>
      </c>
      <c r="B1477" t="str">
        <f>"FES1162689463"</f>
        <v>FES1162689463</v>
      </c>
      <c r="C1477" s="9">
        <v>43598</v>
      </c>
      <c r="D1477">
        <v>1</v>
      </c>
      <c r="E1477">
        <v>2170688018</v>
      </c>
      <c r="F1477" t="s">
        <v>16</v>
      </c>
      <c r="G1477" t="s">
        <v>17</v>
      </c>
      <c r="H1477" t="s">
        <v>141</v>
      </c>
      <c r="I1477" t="s">
        <v>185</v>
      </c>
      <c r="J1477" t="s">
        <v>1011</v>
      </c>
      <c r="K1477" s="9">
        <v>43599</v>
      </c>
      <c r="L1477" s="10">
        <v>0.33958333333333335</v>
      </c>
      <c r="M1477" t="s">
        <v>1012</v>
      </c>
      <c r="N1477" t="s">
        <v>2366</v>
      </c>
      <c r="O1477" t="s">
        <v>22</v>
      </c>
    </row>
    <row r="1478" spans="1:15" hidden="1">
      <c r="A1478" t="s">
        <v>15</v>
      </c>
      <c r="B1478" t="str">
        <f>"FES1162689470"</f>
        <v>FES1162689470</v>
      </c>
      <c r="C1478" s="9">
        <v>43598</v>
      </c>
      <c r="D1478">
        <v>1</v>
      </c>
      <c r="E1478">
        <v>2170688026</v>
      </c>
      <c r="F1478" t="s">
        <v>16</v>
      </c>
      <c r="G1478" t="s">
        <v>17</v>
      </c>
      <c r="H1478" t="s">
        <v>141</v>
      </c>
      <c r="I1478" t="s">
        <v>142</v>
      </c>
      <c r="J1478" t="s">
        <v>578</v>
      </c>
      <c r="K1478" s="9">
        <v>43599</v>
      </c>
      <c r="L1478" s="10">
        <v>0.41666666666666669</v>
      </c>
      <c r="M1478" t="s">
        <v>2405</v>
      </c>
      <c r="N1478" t="s">
        <v>2406</v>
      </c>
      <c r="O1478" t="s">
        <v>22</v>
      </c>
    </row>
    <row r="1479" spans="1:15" hidden="1">
      <c r="A1479" t="s">
        <v>15</v>
      </c>
      <c r="B1479" t="str">
        <f>"FES1162689461"</f>
        <v>FES1162689461</v>
      </c>
      <c r="C1479" s="9">
        <v>43598</v>
      </c>
      <c r="D1479">
        <v>1</v>
      </c>
      <c r="E1479">
        <v>2170688018</v>
      </c>
      <c r="F1479" t="s">
        <v>16</v>
      </c>
      <c r="G1479" t="s">
        <v>17</v>
      </c>
      <c r="H1479" t="s">
        <v>141</v>
      </c>
      <c r="I1479" t="s">
        <v>142</v>
      </c>
      <c r="J1479" t="s">
        <v>976</v>
      </c>
      <c r="K1479" s="9">
        <v>43599</v>
      </c>
      <c r="L1479" s="10">
        <v>0.42777777777777781</v>
      </c>
      <c r="M1479" t="s">
        <v>977</v>
      </c>
      <c r="N1479" t="s">
        <v>2366</v>
      </c>
      <c r="O1479" t="s">
        <v>22</v>
      </c>
    </row>
    <row r="1480" spans="1:15" hidden="1">
      <c r="A1480" t="s">
        <v>15</v>
      </c>
      <c r="B1480" t="str">
        <f>"009935723264"</f>
        <v>009935723264</v>
      </c>
      <c r="C1480" s="9">
        <v>43598</v>
      </c>
      <c r="D1480">
        <v>1</v>
      </c>
      <c r="E1480">
        <v>1162687837</v>
      </c>
      <c r="F1480" t="s">
        <v>16</v>
      </c>
      <c r="G1480" t="s">
        <v>17</v>
      </c>
      <c r="H1480" t="s">
        <v>141</v>
      </c>
      <c r="I1480" t="s">
        <v>142</v>
      </c>
      <c r="J1480" t="s">
        <v>633</v>
      </c>
      <c r="K1480" s="9">
        <v>43599</v>
      </c>
      <c r="L1480" s="10">
        <v>0.4375</v>
      </c>
      <c r="M1480" t="s">
        <v>2407</v>
      </c>
      <c r="N1480" t="s">
        <v>2366</v>
      </c>
      <c r="O1480" t="s">
        <v>2408</v>
      </c>
    </row>
    <row r="1481" spans="1:15" hidden="1">
      <c r="A1481" t="s">
        <v>15</v>
      </c>
      <c r="B1481" t="str">
        <f>"FES1162689562"</f>
        <v>FES1162689562</v>
      </c>
      <c r="C1481" s="9">
        <v>43598</v>
      </c>
      <c r="D1481">
        <v>1</v>
      </c>
      <c r="E1481">
        <v>2170688132</v>
      </c>
      <c r="F1481" t="s">
        <v>16</v>
      </c>
      <c r="G1481" t="s">
        <v>17</v>
      </c>
      <c r="H1481" t="s">
        <v>141</v>
      </c>
      <c r="I1481" t="s">
        <v>142</v>
      </c>
      <c r="J1481" t="s">
        <v>228</v>
      </c>
      <c r="K1481" s="9">
        <v>43599</v>
      </c>
      <c r="L1481" s="10">
        <v>0.40833333333333338</v>
      </c>
      <c r="M1481" t="s">
        <v>229</v>
      </c>
      <c r="N1481" t="s">
        <v>2409</v>
      </c>
      <c r="O1481" t="s">
        <v>22</v>
      </c>
    </row>
    <row r="1482" spans="1:15" hidden="1">
      <c r="A1482" t="s">
        <v>15</v>
      </c>
      <c r="B1482" t="str">
        <f>"FES1162689565"</f>
        <v>FES1162689565</v>
      </c>
      <c r="C1482" s="9">
        <v>43598</v>
      </c>
      <c r="D1482">
        <v>1</v>
      </c>
      <c r="E1482">
        <v>2170686431</v>
      </c>
      <c r="F1482" t="s">
        <v>16</v>
      </c>
      <c r="G1482" t="s">
        <v>17</v>
      </c>
      <c r="H1482" t="s">
        <v>141</v>
      </c>
      <c r="I1482" t="s">
        <v>142</v>
      </c>
      <c r="J1482" t="s">
        <v>1380</v>
      </c>
      <c r="K1482" s="9">
        <v>43599</v>
      </c>
      <c r="L1482" s="10">
        <v>0.35833333333333334</v>
      </c>
      <c r="M1482" t="s">
        <v>2402</v>
      </c>
      <c r="N1482" t="s">
        <v>2409</v>
      </c>
      <c r="O1482" t="s">
        <v>22</v>
      </c>
    </row>
    <row r="1483" spans="1:15" hidden="1">
      <c r="A1483" t="s">
        <v>15</v>
      </c>
      <c r="B1483" t="str">
        <f>"FES1162689516"</f>
        <v>FES1162689516</v>
      </c>
      <c r="C1483" s="9">
        <v>43598</v>
      </c>
      <c r="D1483">
        <v>1</v>
      </c>
      <c r="E1483">
        <v>2170688085</v>
      </c>
      <c r="F1483" t="s">
        <v>16</v>
      </c>
      <c r="G1483" t="s">
        <v>17</v>
      </c>
      <c r="H1483" t="s">
        <v>141</v>
      </c>
      <c r="I1483" t="s">
        <v>142</v>
      </c>
      <c r="J1483" t="s">
        <v>2313</v>
      </c>
      <c r="K1483" s="9">
        <v>43599</v>
      </c>
      <c r="L1483" s="10">
        <v>0.40486111111111112</v>
      </c>
      <c r="M1483" t="s">
        <v>2314</v>
      </c>
      <c r="N1483" t="s">
        <v>2366</v>
      </c>
      <c r="O1483" t="s">
        <v>22</v>
      </c>
    </row>
    <row r="1484" spans="1:15" hidden="1">
      <c r="A1484" t="s">
        <v>15</v>
      </c>
      <c r="B1484" t="str">
        <f>"FES1162689519"</f>
        <v>FES1162689519</v>
      </c>
      <c r="C1484" s="9">
        <v>43598</v>
      </c>
      <c r="D1484">
        <v>1</v>
      </c>
      <c r="E1484">
        <v>2170688088</v>
      </c>
      <c r="F1484" t="s">
        <v>16</v>
      </c>
      <c r="G1484" t="s">
        <v>17</v>
      </c>
      <c r="H1484" t="s">
        <v>141</v>
      </c>
      <c r="I1484" t="s">
        <v>185</v>
      </c>
      <c r="J1484" t="s">
        <v>2410</v>
      </c>
      <c r="K1484" s="9">
        <v>43599</v>
      </c>
      <c r="L1484" s="10">
        <v>0.36388888888888887</v>
      </c>
      <c r="M1484" t="s">
        <v>2411</v>
      </c>
      <c r="N1484" t="s">
        <v>2366</v>
      </c>
      <c r="O1484" t="s">
        <v>22</v>
      </c>
    </row>
    <row r="1485" spans="1:15" hidden="1">
      <c r="A1485" t="s">
        <v>15</v>
      </c>
      <c r="B1485" t="str">
        <f>"FES1162689531"</f>
        <v>FES1162689531</v>
      </c>
      <c r="C1485" s="9">
        <v>43598</v>
      </c>
      <c r="D1485">
        <v>1</v>
      </c>
      <c r="E1485">
        <v>2170687030</v>
      </c>
      <c r="F1485" t="s">
        <v>16</v>
      </c>
      <c r="G1485" t="s">
        <v>17</v>
      </c>
      <c r="H1485" t="s">
        <v>141</v>
      </c>
      <c r="I1485" t="s">
        <v>142</v>
      </c>
      <c r="J1485" t="s">
        <v>195</v>
      </c>
      <c r="K1485" s="9">
        <v>43599</v>
      </c>
      <c r="L1485" s="10">
        <v>0.29583333333333334</v>
      </c>
      <c r="M1485" t="s">
        <v>2412</v>
      </c>
      <c r="N1485" t="s">
        <v>2409</v>
      </c>
      <c r="O1485" t="s">
        <v>22</v>
      </c>
    </row>
    <row r="1486" spans="1:15" hidden="1">
      <c r="A1486" t="s">
        <v>15</v>
      </c>
      <c r="B1486" t="str">
        <f>"FES1162689535"</f>
        <v>FES1162689535</v>
      </c>
      <c r="C1486" s="9">
        <v>43598</v>
      </c>
      <c r="D1486">
        <v>1</v>
      </c>
      <c r="E1486">
        <v>2170688103</v>
      </c>
      <c r="F1486" t="s">
        <v>16</v>
      </c>
      <c r="G1486" t="s">
        <v>17</v>
      </c>
      <c r="H1486" t="s">
        <v>141</v>
      </c>
      <c r="I1486" t="s">
        <v>185</v>
      </c>
      <c r="J1486" t="s">
        <v>1916</v>
      </c>
      <c r="K1486" s="9">
        <v>43599</v>
      </c>
      <c r="L1486" s="10">
        <v>0.34513888888888888</v>
      </c>
      <c r="M1486" t="s">
        <v>2413</v>
      </c>
      <c r="N1486" t="s">
        <v>2409</v>
      </c>
      <c r="O1486" t="s">
        <v>22</v>
      </c>
    </row>
    <row r="1487" spans="1:15" hidden="1">
      <c r="A1487" t="s">
        <v>15</v>
      </c>
      <c r="B1487" t="str">
        <f>"FES1162689499"</f>
        <v>FES1162689499</v>
      </c>
      <c r="C1487" s="9">
        <v>43598</v>
      </c>
      <c r="D1487">
        <v>1</v>
      </c>
      <c r="E1487">
        <v>2170688068</v>
      </c>
      <c r="F1487" t="s">
        <v>16</v>
      </c>
      <c r="G1487" t="s">
        <v>17</v>
      </c>
      <c r="H1487" t="s">
        <v>141</v>
      </c>
      <c r="I1487" t="s">
        <v>142</v>
      </c>
      <c r="J1487" t="s">
        <v>627</v>
      </c>
      <c r="K1487" s="9">
        <v>43599</v>
      </c>
      <c r="L1487" s="10">
        <v>0.3923611111111111</v>
      </c>
      <c r="M1487" t="s">
        <v>1905</v>
      </c>
      <c r="N1487" t="s">
        <v>2366</v>
      </c>
      <c r="O1487" t="s">
        <v>22</v>
      </c>
    </row>
    <row r="1488" spans="1:15" hidden="1">
      <c r="A1488" t="s">
        <v>15</v>
      </c>
      <c r="B1488" t="str">
        <f>"FES1162689466"</f>
        <v>FES1162689466</v>
      </c>
      <c r="C1488" s="9">
        <v>43598</v>
      </c>
      <c r="D1488">
        <v>1</v>
      </c>
      <c r="E1488">
        <v>2170688022</v>
      </c>
      <c r="F1488" t="s">
        <v>16</v>
      </c>
      <c r="G1488" t="s">
        <v>17</v>
      </c>
      <c r="H1488" t="s">
        <v>32</v>
      </c>
      <c r="I1488" t="s">
        <v>33</v>
      </c>
      <c r="J1488" t="s">
        <v>357</v>
      </c>
      <c r="K1488" s="9">
        <v>43599</v>
      </c>
      <c r="L1488" s="10">
        <v>0.43402777777777773</v>
      </c>
      <c r="M1488" t="s">
        <v>2414</v>
      </c>
      <c r="N1488" t="s">
        <v>2415</v>
      </c>
      <c r="O1488" t="s">
        <v>22</v>
      </c>
    </row>
    <row r="1489" spans="1:15" hidden="1">
      <c r="A1489" t="s">
        <v>15</v>
      </c>
      <c r="B1489" t="str">
        <f>"FES1162689414"</f>
        <v>FES1162689414</v>
      </c>
      <c r="C1489" s="9">
        <v>43598</v>
      </c>
      <c r="D1489">
        <v>1</v>
      </c>
      <c r="E1489">
        <v>2170687979</v>
      </c>
      <c r="F1489" t="s">
        <v>16</v>
      </c>
      <c r="G1489" t="s">
        <v>17</v>
      </c>
      <c r="H1489" t="s">
        <v>37</v>
      </c>
      <c r="I1489" t="s">
        <v>38</v>
      </c>
      <c r="J1489" t="s">
        <v>766</v>
      </c>
      <c r="K1489" s="9">
        <v>43599</v>
      </c>
      <c r="L1489" s="10">
        <v>0.36874999999999997</v>
      </c>
      <c r="M1489" t="s">
        <v>1247</v>
      </c>
      <c r="N1489" t="s">
        <v>2416</v>
      </c>
      <c r="O1489" t="s">
        <v>22</v>
      </c>
    </row>
    <row r="1490" spans="1:15" hidden="1">
      <c r="A1490" t="s">
        <v>15</v>
      </c>
      <c r="B1490" t="str">
        <f>"FES1162689459"</f>
        <v>FES1162689459</v>
      </c>
      <c r="C1490" s="9">
        <v>43598</v>
      </c>
      <c r="D1490">
        <v>1</v>
      </c>
      <c r="E1490">
        <v>2170687397</v>
      </c>
      <c r="F1490" t="s">
        <v>16</v>
      </c>
      <c r="G1490" t="s">
        <v>17</v>
      </c>
      <c r="H1490" t="s">
        <v>37</v>
      </c>
      <c r="I1490" t="s">
        <v>38</v>
      </c>
      <c r="J1490" t="s">
        <v>535</v>
      </c>
      <c r="K1490" s="9">
        <v>43599</v>
      </c>
      <c r="L1490" s="10">
        <v>0.38194444444444442</v>
      </c>
      <c r="M1490" t="s">
        <v>1648</v>
      </c>
      <c r="N1490" t="s">
        <v>2366</v>
      </c>
      <c r="O1490" t="s">
        <v>22</v>
      </c>
    </row>
    <row r="1491" spans="1:15" hidden="1">
      <c r="A1491" t="s">
        <v>15</v>
      </c>
      <c r="B1491" t="str">
        <f>"FES1162689540"</f>
        <v>FES1162689540</v>
      </c>
      <c r="C1491" s="9">
        <v>43598</v>
      </c>
      <c r="D1491">
        <v>1</v>
      </c>
      <c r="E1491">
        <v>2170688108</v>
      </c>
      <c r="F1491" t="s">
        <v>16</v>
      </c>
      <c r="G1491" t="s">
        <v>17</v>
      </c>
      <c r="H1491" t="s">
        <v>37</v>
      </c>
      <c r="I1491" t="s">
        <v>38</v>
      </c>
      <c r="J1491" t="s">
        <v>1204</v>
      </c>
      <c r="K1491" s="9">
        <v>43599</v>
      </c>
      <c r="L1491" s="10">
        <v>0.41666666666666669</v>
      </c>
      <c r="M1491" t="s">
        <v>2417</v>
      </c>
      <c r="N1491" t="s">
        <v>2418</v>
      </c>
      <c r="O1491" t="s">
        <v>22</v>
      </c>
    </row>
    <row r="1492" spans="1:15" hidden="1">
      <c r="A1492" t="s">
        <v>15</v>
      </c>
      <c r="B1492" t="str">
        <f>"FES1162689495"</f>
        <v>FES1162689495</v>
      </c>
      <c r="C1492" s="9">
        <v>43598</v>
      </c>
      <c r="D1492">
        <v>1</v>
      </c>
      <c r="E1492">
        <v>2170688059</v>
      </c>
      <c r="F1492" t="s">
        <v>16</v>
      </c>
      <c r="G1492" t="s">
        <v>17</v>
      </c>
      <c r="H1492" t="s">
        <v>37</v>
      </c>
      <c r="I1492" t="s">
        <v>38</v>
      </c>
      <c r="J1492" t="s">
        <v>1429</v>
      </c>
      <c r="K1492" s="9">
        <v>43599</v>
      </c>
      <c r="L1492" s="10">
        <v>0.41666666666666669</v>
      </c>
      <c r="M1492" t="s">
        <v>2417</v>
      </c>
      <c r="N1492" t="s">
        <v>2419</v>
      </c>
      <c r="O1492" t="s">
        <v>22</v>
      </c>
    </row>
    <row r="1493" spans="1:15" hidden="1">
      <c r="A1493" t="s">
        <v>15</v>
      </c>
      <c r="B1493" t="str">
        <f>"FES1162689314"</f>
        <v>FES1162689314</v>
      </c>
      <c r="C1493" s="9">
        <v>43598</v>
      </c>
      <c r="D1493">
        <v>1</v>
      </c>
      <c r="E1493">
        <v>2170686524</v>
      </c>
      <c r="F1493" t="s">
        <v>16</v>
      </c>
      <c r="G1493" t="s">
        <v>17</v>
      </c>
      <c r="H1493" t="s">
        <v>37</v>
      </c>
      <c r="I1493" t="s">
        <v>38</v>
      </c>
      <c r="J1493" t="s">
        <v>2420</v>
      </c>
      <c r="K1493" s="9">
        <v>43599</v>
      </c>
      <c r="L1493" s="10">
        <v>0.3888888888888889</v>
      </c>
      <c r="M1493" t="s">
        <v>2421</v>
      </c>
      <c r="N1493" t="s">
        <v>2416</v>
      </c>
      <c r="O1493" t="s">
        <v>22</v>
      </c>
    </row>
    <row r="1494" spans="1:15" hidden="1">
      <c r="A1494" t="s">
        <v>15</v>
      </c>
      <c r="B1494" t="str">
        <f>"FES1162689554"</f>
        <v>FES1162689554</v>
      </c>
      <c r="C1494" s="9">
        <v>43598</v>
      </c>
      <c r="D1494">
        <v>2</v>
      </c>
      <c r="E1494">
        <v>2170687891</v>
      </c>
      <c r="F1494" t="s">
        <v>16</v>
      </c>
      <c r="G1494" t="s">
        <v>17</v>
      </c>
      <c r="H1494" t="s">
        <v>37</v>
      </c>
      <c r="I1494" t="s">
        <v>2422</v>
      </c>
      <c r="J1494" t="s">
        <v>1008</v>
      </c>
      <c r="K1494" s="9">
        <v>43599</v>
      </c>
      <c r="L1494" t="s">
        <v>2423</v>
      </c>
      <c r="M1494" t="s">
        <v>2424</v>
      </c>
      <c r="N1494" t="s">
        <v>2425</v>
      </c>
      <c r="O1494" t="s">
        <v>22</v>
      </c>
    </row>
    <row r="1495" spans="1:15" hidden="1">
      <c r="A1495" t="s">
        <v>15</v>
      </c>
      <c r="B1495" t="str">
        <f>"FES1162689324"</f>
        <v>FES1162689324</v>
      </c>
      <c r="C1495" s="9">
        <v>43598</v>
      </c>
      <c r="D1495">
        <v>1</v>
      </c>
      <c r="E1495">
        <v>2170687772</v>
      </c>
      <c r="F1495" t="s">
        <v>16</v>
      </c>
      <c r="G1495" t="s">
        <v>17</v>
      </c>
      <c r="H1495" t="s">
        <v>425</v>
      </c>
      <c r="I1495" t="s">
        <v>771</v>
      </c>
      <c r="J1495" t="s">
        <v>2426</v>
      </c>
      <c r="K1495" s="9">
        <v>43599</v>
      </c>
      <c r="L1495" s="10">
        <v>0.62847222222222221</v>
      </c>
      <c r="M1495" t="s">
        <v>2427</v>
      </c>
      <c r="N1495" t="s">
        <v>2428</v>
      </c>
      <c r="O1495" t="s">
        <v>22</v>
      </c>
    </row>
    <row r="1496" spans="1:15" hidden="1">
      <c r="A1496" t="s">
        <v>15</v>
      </c>
      <c r="B1496" t="str">
        <f>"FES1162689344"</f>
        <v>FES1162689344</v>
      </c>
      <c r="C1496" s="9">
        <v>43598</v>
      </c>
      <c r="D1496">
        <v>1</v>
      </c>
      <c r="E1496">
        <v>2170687906</v>
      </c>
      <c r="F1496" t="s">
        <v>16</v>
      </c>
      <c r="G1496" t="s">
        <v>17</v>
      </c>
      <c r="H1496" t="s">
        <v>32</v>
      </c>
      <c r="I1496" t="s">
        <v>342</v>
      </c>
      <c r="J1496" t="s">
        <v>2429</v>
      </c>
      <c r="K1496" s="9">
        <v>43599</v>
      </c>
      <c r="L1496" s="10">
        <v>0.3576388888888889</v>
      </c>
      <c r="M1496" t="s">
        <v>2430</v>
      </c>
      <c r="N1496" t="s">
        <v>2431</v>
      </c>
      <c r="O1496" t="s">
        <v>22</v>
      </c>
    </row>
    <row r="1497" spans="1:15" hidden="1">
      <c r="A1497" t="s">
        <v>15</v>
      </c>
      <c r="B1497" t="str">
        <f>"FES1162689393"</f>
        <v>FES1162689393</v>
      </c>
      <c r="C1497" s="9">
        <v>43598</v>
      </c>
      <c r="D1497">
        <v>1</v>
      </c>
      <c r="E1497">
        <v>2170687957</v>
      </c>
      <c r="F1497" t="s">
        <v>16</v>
      </c>
      <c r="G1497" t="s">
        <v>17</v>
      </c>
      <c r="H1497" t="s">
        <v>32</v>
      </c>
      <c r="I1497" t="s">
        <v>33</v>
      </c>
      <c r="J1497" t="s">
        <v>2432</v>
      </c>
      <c r="K1497" s="9">
        <v>43599</v>
      </c>
      <c r="L1497" s="10">
        <v>0.40972222222222227</v>
      </c>
      <c r="M1497" t="s">
        <v>2433</v>
      </c>
      <c r="N1497" t="s">
        <v>2416</v>
      </c>
      <c r="O1497" t="s">
        <v>22</v>
      </c>
    </row>
    <row r="1498" spans="1:15" hidden="1">
      <c r="A1498" t="s">
        <v>15</v>
      </c>
      <c r="B1498" t="str">
        <f>"FES1162689325"</f>
        <v>FES1162689325</v>
      </c>
      <c r="C1498" s="9">
        <v>43598</v>
      </c>
      <c r="D1498">
        <v>1</v>
      </c>
      <c r="E1498">
        <v>2170687805</v>
      </c>
      <c r="F1498" t="s">
        <v>16</v>
      </c>
      <c r="G1498" t="s">
        <v>17</v>
      </c>
      <c r="H1498" t="s">
        <v>32</v>
      </c>
      <c r="I1498" t="s">
        <v>33</v>
      </c>
      <c r="J1498" t="s">
        <v>284</v>
      </c>
      <c r="K1498" s="9">
        <v>43599</v>
      </c>
      <c r="L1498" s="10">
        <v>0.43611111111111112</v>
      </c>
      <c r="M1498" t="s">
        <v>1840</v>
      </c>
      <c r="N1498" t="s">
        <v>2416</v>
      </c>
      <c r="O1498" t="s">
        <v>22</v>
      </c>
    </row>
    <row r="1499" spans="1:15" hidden="1">
      <c r="A1499" t="s">
        <v>15</v>
      </c>
      <c r="B1499" t="str">
        <f>"FES1162689337"</f>
        <v>FES1162689337</v>
      </c>
      <c r="C1499" s="9">
        <v>43598</v>
      </c>
      <c r="D1499">
        <v>1</v>
      </c>
      <c r="E1499">
        <v>2170687895</v>
      </c>
      <c r="F1499" t="s">
        <v>16</v>
      </c>
      <c r="G1499" t="s">
        <v>17</v>
      </c>
      <c r="H1499" t="s">
        <v>32</v>
      </c>
      <c r="I1499" t="s">
        <v>33</v>
      </c>
      <c r="J1499" t="s">
        <v>357</v>
      </c>
      <c r="K1499" s="9">
        <v>43599</v>
      </c>
      <c r="L1499" s="10">
        <v>0.43402777777777773</v>
      </c>
      <c r="M1499" t="s">
        <v>2414</v>
      </c>
      <c r="N1499" t="s">
        <v>2434</v>
      </c>
      <c r="O1499" t="s">
        <v>22</v>
      </c>
    </row>
    <row r="1500" spans="1:15" hidden="1">
      <c r="A1500" t="s">
        <v>15</v>
      </c>
      <c r="B1500" t="str">
        <f>"FES1162689458"</f>
        <v>FES1162689458</v>
      </c>
      <c r="C1500" s="9">
        <v>43598</v>
      </c>
      <c r="D1500">
        <v>1</v>
      </c>
      <c r="E1500">
        <v>2170678457</v>
      </c>
      <c r="F1500" t="s">
        <v>16</v>
      </c>
      <c r="G1500" t="s">
        <v>17</v>
      </c>
      <c r="H1500" t="s">
        <v>32</v>
      </c>
      <c r="I1500" t="s">
        <v>33</v>
      </c>
      <c r="J1500" t="s">
        <v>34</v>
      </c>
      <c r="K1500" s="9">
        <v>43599</v>
      </c>
      <c r="L1500" s="10">
        <v>0.41875000000000001</v>
      </c>
      <c r="M1500" t="s">
        <v>35</v>
      </c>
      <c r="N1500" t="s">
        <v>2435</v>
      </c>
      <c r="O1500" t="s">
        <v>22</v>
      </c>
    </row>
    <row r="1501" spans="1:15" hidden="1">
      <c r="A1501" t="s">
        <v>15</v>
      </c>
      <c r="B1501" t="str">
        <f>"FES1162689469"</f>
        <v>FES1162689469</v>
      </c>
      <c r="C1501" s="9">
        <v>43598</v>
      </c>
      <c r="D1501">
        <v>1</v>
      </c>
      <c r="E1501">
        <v>2170688025</v>
      </c>
      <c r="F1501" t="s">
        <v>16</v>
      </c>
      <c r="G1501" t="s">
        <v>17</v>
      </c>
      <c r="H1501" t="s">
        <v>32</v>
      </c>
      <c r="I1501" t="s">
        <v>33</v>
      </c>
      <c r="J1501" t="s">
        <v>360</v>
      </c>
      <c r="K1501" s="9">
        <v>43599</v>
      </c>
      <c r="L1501" s="10">
        <v>0.41666666666666669</v>
      </c>
      <c r="M1501" t="s">
        <v>361</v>
      </c>
      <c r="N1501" t="s">
        <v>2436</v>
      </c>
      <c r="O1501" t="s">
        <v>22</v>
      </c>
    </row>
    <row r="1502" spans="1:15" hidden="1">
      <c r="A1502" t="s">
        <v>15</v>
      </c>
      <c r="B1502" t="str">
        <f>"FES1162689435"</f>
        <v>FES1162689435</v>
      </c>
      <c r="C1502" s="9">
        <v>43598</v>
      </c>
      <c r="D1502">
        <v>1</v>
      </c>
      <c r="E1502">
        <v>2170684643</v>
      </c>
      <c r="F1502" t="s">
        <v>16</v>
      </c>
      <c r="G1502" t="s">
        <v>17</v>
      </c>
      <c r="H1502" t="s">
        <v>32</v>
      </c>
      <c r="I1502" t="s">
        <v>33</v>
      </c>
      <c r="J1502" t="s">
        <v>2437</v>
      </c>
      <c r="K1502" s="9">
        <v>43599</v>
      </c>
      <c r="L1502" s="10">
        <v>0.40277777777777773</v>
      </c>
      <c r="M1502" t="s">
        <v>2438</v>
      </c>
      <c r="N1502" t="s">
        <v>2439</v>
      </c>
      <c r="O1502" t="s">
        <v>22</v>
      </c>
    </row>
    <row r="1503" spans="1:15" hidden="1">
      <c r="A1503" t="s">
        <v>15</v>
      </c>
      <c r="B1503" t="str">
        <f>"FES1162689431"</f>
        <v>FES1162689431</v>
      </c>
      <c r="C1503" s="9">
        <v>43598</v>
      </c>
      <c r="D1503">
        <v>1</v>
      </c>
      <c r="E1503">
        <v>2170683029</v>
      </c>
      <c r="F1503" t="s">
        <v>16</v>
      </c>
      <c r="G1503" t="s">
        <v>17</v>
      </c>
      <c r="H1503" t="s">
        <v>32</v>
      </c>
      <c r="I1503" t="s">
        <v>33</v>
      </c>
      <c r="J1503" t="s">
        <v>360</v>
      </c>
      <c r="K1503" s="9">
        <v>43599</v>
      </c>
      <c r="L1503" s="10">
        <v>0.4201388888888889</v>
      </c>
      <c r="M1503" t="s">
        <v>361</v>
      </c>
      <c r="N1503" t="s">
        <v>2440</v>
      </c>
      <c r="O1503" t="s">
        <v>22</v>
      </c>
    </row>
    <row r="1504" spans="1:15" hidden="1">
      <c r="A1504" t="s">
        <v>15</v>
      </c>
      <c r="B1504" t="str">
        <f>"FES1162689424"</f>
        <v>FES1162689424</v>
      </c>
      <c r="C1504" s="9">
        <v>43598</v>
      </c>
      <c r="D1504">
        <v>1</v>
      </c>
      <c r="E1504">
        <v>2170687984</v>
      </c>
      <c r="F1504" t="s">
        <v>16</v>
      </c>
      <c r="G1504" t="s">
        <v>17</v>
      </c>
      <c r="H1504" t="s">
        <v>32</v>
      </c>
      <c r="I1504" t="s">
        <v>33</v>
      </c>
      <c r="J1504" t="s">
        <v>2441</v>
      </c>
      <c r="K1504" s="9">
        <v>43599</v>
      </c>
      <c r="L1504" s="10">
        <v>0.40972222222222227</v>
      </c>
      <c r="M1504" t="s">
        <v>2442</v>
      </c>
      <c r="N1504" t="s">
        <v>2443</v>
      </c>
      <c r="O1504" t="s">
        <v>22</v>
      </c>
    </row>
    <row r="1505" spans="1:15" hidden="1">
      <c r="A1505" t="s">
        <v>15</v>
      </c>
      <c r="B1505" t="str">
        <f>"FES1162689468"</f>
        <v>FES1162689468</v>
      </c>
      <c r="C1505" s="9">
        <v>43598</v>
      </c>
      <c r="D1505">
        <v>1</v>
      </c>
      <c r="E1505">
        <v>2170688023</v>
      </c>
      <c r="F1505" t="s">
        <v>16</v>
      </c>
      <c r="G1505" t="s">
        <v>17</v>
      </c>
      <c r="H1505" t="s">
        <v>32</v>
      </c>
      <c r="I1505" t="s">
        <v>33</v>
      </c>
      <c r="J1505" t="s">
        <v>365</v>
      </c>
      <c r="K1505" s="9">
        <v>43599</v>
      </c>
      <c r="L1505" s="10">
        <v>0.31944444444444448</v>
      </c>
      <c r="M1505" t="s">
        <v>2444</v>
      </c>
      <c r="N1505" t="s">
        <v>2366</v>
      </c>
      <c r="O1505" t="s">
        <v>22</v>
      </c>
    </row>
    <row r="1506" spans="1:15" hidden="1">
      <c r="A1506" t="s">
        <v>15</v>
      </c>
      <c r="B1506" t="str">
        <f>"FES1162689486"</f>
        <v>FES1162689486</v>
      </c>
      <c r="C1506" s="9">
        <v>43598</v>
      </c>
      <c r="D1506">
        <v>1</v>
      </c>
      <c r="E1506">
        <v>2170688046</v>
      </c>
      <c r="F1506" t="s">
        <v>16</v>
      </c>
      <c r="G1506" t="s">
        <v>17</v>
      </c>
      <c r="H1506" t="s">
        <v>32</v>
      </c>
      <c r="I1506" t="s">
        <v>33</v>
      </c>
      <c r="J1506" t="s">
        <v>2445</v>
      </c>
      <c r="K1506" s="9">
        <v>43599</v>
      </c>
      <c r="L1506" s="10">
        <v>0.40277777777777773</v>
      </c>
      <c r="M1506" t="s">
        <v>2446</v>
      </c>
      <c r="N1506" t="s">
        <v>2447</v>
      </c>
      <c r="O1506" t="s">
        <v>22</v>
      </c>
    </row>
    <row r="1507" spans="1:15" hidden="1">
      <c r="A1507" t="s">
        <v>15</v>
      </c>
      <c r="B1507" t="str">
        <f>"FES1162689447"</f>
        <v>FES1162689447</v>
      </c>
      <c r="C1507" s="9">
        <v>43598</v>
      </c>
      <c r="D1507">
        <v>1</v>
      </c>
      <c r="E1507">
        <v>2170676769</v>
      </c>
      <c r="F1507" t="s">
        <v>16</v>
      </c>
      <c r="G1507" t="s">
        <v>17</v>
      </c>
      <c r="H1507" t="s">
        <v>32</v>
      </c>
      <c r="I1507" t="s">
        <v>33</v>
      </c>
      <c r="J1507" t="s">
        <v>34</v>
      </c>
      <c r="K1507" s="9">
        <v>43599</v>
      </c>
      <c r="L1507" s="10">
        <v>0.4201388888888889</v>
      </c>
      <c r="M1507" t="s">
        <v>35</v>
      </c>
      <c r="N1507" t="s">
        <v>2448</v>
      </c>
      <c r="O1507" t="s">
        <v>22</v>
      </c>
    </row>
    <row r="1508" spans="1:15" hidden="1">
      <c r="A1508" t="s">
        <v>15</v>
      </c>
      <c r="B1508" t="str">
        <f>"FES1162689498"</f>
        <v>FES1162689498</v>
      </c>
      <c r="C1508" s="9">
        <v>43598</v>
      </c>
      <c r="D1508">
        <v>1</v>
      </c>
      <c r="E1508">
        <v>2170688066</v>
      </c>
      <c r="F1508" t="s">
        <v>16</v>
      </c>
      <c r="G1508" t="s">
        <v>17</v>
      </c>
      <c r="H1508" t="s">
        <v>32</v>
      </c>
      <c r="I1508" t="s">
        <v>33</v>
      </c>
      <c r="J1508" t="s">
        <v>2449</v>
      </c>
      <c r="K1508" s="9">
        <v>43599</v>
      </c>
      <c r="L1508" s="10">
        <v>0.41666666666666669</v>
      </c>
      <c r="M1508" t="s">
        <v>1775</v>
      </c>
      <c r="N1508" t="s">
        <v>2450</v>
      </c>
      <c r="O1508" t="s">
        <v>22</v>
      </c>
    </row>
    <row r="1509" spans="1:15" hidden="1">
      <c r="A1509" t="s">
        <v>15</v>
      </c>
      <c r="B1509" t="str">
        <f>"FES1162689504"</f>
        <v>FES1162689504</v>
      </c>
      <c r="C1509" s="9">
        <v>43598</v>
      </c>
      <c r="D1509">
        <v>1</v>
      </c>
      <c r="E1509">
        <v>2170688074</v>
      </c>
      <c r="F1509" t="s">
        <v>16</v>
      </c>
      <c r="G1509" t="s">
        <v>17</v>
      </c>
      <c r="H1509" t="s">
        <v>32</v>
      </c>
      <c r="I1509" t="s">
        <v>33</v>
      </c>
      <c r="J1509" t="s">
        <v>34</v>
      </c>
      <c r="K1509" s="9">
        <v>43599</v>
      </c>
      <c r="L1509" s="10">
        <v>0.41875000000000001</v>
      </c>
      <c r="M1509" t="s">
        <v>35</v>
      </c>
      <c r="N1509" t="s">
        <v>2451</v>
      </c>
      <c r="O1509" t="s">
        <v>22</v>
      </c>
    </row>
    <row r="1510" spans="1:15" hidden="1">
      <c r="A1510" t="s">
        <v>15</v>
      </c>
      <c r="B1510" t="str">
        <f>"FES1162689507"</f>
        <v>FES1162689507</v>
      </c>
      <c r="C1510" s="9">
        <v>43598</v>
      </c>
      <c r="D1510">
        <v>1</v>
      </c>
      <c r="E1510">
        <v>2170688070</v>
      </c>
      <c r="F1510" t="s">
        <v>16</v>
      </c>
      <c r="G1510" t="s">
        <v>17</v>
      </c>
      <c r="H1510" t="s">
        <v>32</v>
      </c>
      <c r="I1510" t="s">
        <v>33</v>
      </c>
      <c r="J1510" t="s">
        <v>284</v>
      </c>
      <c r="K1510" s="9">
        <v>43599</v>
      </c>
      <c r="L1510" s="10">
        <v>0.43611111111111112</v>
      </c>
      <c r="M1510" t="s">
        <v>1840</v>
      </c>
      <c r="N1510" t="s">
        <v>2366</v>
      </c>
      <c r="O1510" t="s">
        <v>22</v>
      </c>
    </row>
    <row r="1511" spans="1:15" hidden="1">
      <c r="A1511" t="s">
        <v>15</v>
      </c>
      <c r="B1511" t="str">
        <f>"FES1162689521"</f>
        <v>FES1162689521</v>
      </c>
      <c r="C1511" s="9">
        <v>43598</v>
      </c>
      <c r="D1511">
        <v>1</v>
      </c>
      <c r="E1511">
        <v>2170688090</v>
      </c>
      <c r="F1511" t="s">
        <v>16</v>
      </c>
      <c r="G1511" t="s">
        <v>17</v>
      </c>
      <c r="H1511" t="s">
        <v>32</v>
      </c>
      <c r="I1511" t="s">
        <v>33</v>
      </c>
      <c r="J1511" t="s">
        <v>778</v>
      </c>
      <c r="K1511" s="9">
        <v>43599</v>
      </c>
      <c r="L1511" s="10">
        <v>0.38541666666666669</v>
      </c>
      <c r="M1511" t="s">
        <v>2452</v>
      </c>
      <c r="N1511" t="s">
        <v>2453</v>
      </c>
      <c r="O1511" t="s">
        <v>22</v>
      </c>
    </row>
    <row r="1512" spans="1:15" hidden="1">
      <c r="A1512" t="s">
        <v>15</v>
      </c>
      <c r="B1512" t="str">
        <f>"FES1162689524"</f>
        <v>FES1162689524</v>
      </c>
      <c r="C1512" s="9">
        <v>43598</v>
      </c>
      <c r="D1512">
        <v>1</v>
      </c>
      <c r="E1512">
        <v>2170688093</v>
      </c>
      <c r="F1512" t="s">
        <v>16</v>
      </c>
      <c r="G1512" t="s">
        <v>17</v>
      </c>
      <c r="H1512" t="s">
        <v>32</v>
      </c>
      <c r="I1512" t="s">
        <v>33</v>
      </c>
      <c r="J1512" t="s">
        <v>778</v>
      </c>
      <c r="K1512" s="9">
        <v>43599</v>
      </c>
      <c r="L1512" s="10">
        <v>0.38541666666666669</v>
      </c>
      <c r="M1512" t="s">
        <v>2452</v>
      </c>
      <c r="N1512" t="s">
        <v>2454</v>
      </c>
      <c r="O1512" t="s">
        <v>22</v>
      </c>
    </row>
    <row r="1513" spans="1:15" hidden="1">
      <c r="A1513" t="s">
        <v>15</v>
      </c>
      <c r="B1513" t="str">
        <f>"FES1162689559"</f>
        <v>FES1162689559</v>
      </c>
      <c r="C1513" s="9">
        <v>43598</v>
      </c>
      <c r="D1513">
        <v>1</v>
      </c>
      <c r="E1513">
        <v>2170688127</v>
      </c>
      <c r="F1513" t="s">
        <v>16</v>
      </c>
      <c r="G1513" t="s">
        <v>17</v>
      </c>
      <c r="H1513" t="s">
        <v>32</v>
      </c>
      <c r="I1513" t="s">
        <v>33</v>
      </c>
      <c r="J1513" t="s">
        <v>374</v>
      </c>
      <c r="K1513" s="9">
        <v>43599</v>
      </c>
      <c r="L1513" s="10">
        <v>0.41666666666666669</v>
      </c>
      <c r="M1513" t="s">
        <v>2455</v>
      </c>
      <c r="N1513" t="s">
        <v>2456</v>
      </c>
      <c r="O1513" t="s">
        <v>22</v>
      </c>
    </row>
    <row r="1514" spans="1:15" hidden="1">
      <c r="A1514" t="s">
        <v>15</v>
      </c>
      <c r="B1514" t="str">
        <f>"FES1162689446"</f>
        <v>FES1162689446</v>
      </c>
      <c r="C1514" s="9">
        <v>43598</v>
      </c>
      <c r="D1514">
        <v>2</v>
      </c>
      <c r="E1514">
        <v>2170682171</v>
      </c>
      <c r="F1514" t="s">
        <v>16</v>
      </c>
      <c r="G1514" t="s">
        <v>17</v>
      </c>
      <c r="H1514" t="s">
        <v>32</v>
      </c>
      <c r="I1514" t="s">
        <v>33</v>
      </c>
      <c r="J1514" t="s">
        <v>34</v>
      </c>
      <c r="K1514" s="9">
        <v>43599</v>
      </c>
      <c r="L1514" s="10">
        <v>0.41805555555555557</v>
      </c>
      <c r="M1514" t="s">
        <v>35</v>
      </c>
      <c r="N1514" t="s">
        <v>2457</v>
      </c>
      <c r="O1514" t="s">
        <v>22</v>
      </c>
    </row>
    <row r="1515" spans="1:15" hidden="1">
      <c r="A1515" t="s">
        <v>15</v>
      </c>
      <c r="B1515" t="str">
        <f>"FES1162689457"</f>
        <v>FES1162689457</v>
      </c>
      <c r="C1515" s="9">
        <v>43598</v>
      </c>
      <c r="D1515">
        <v>1</v>
      </c>
      <c r="E1515">
        <v>2170682199</v>
      </c>
      <c r="F1515" t="s">
        <v>16</v>
      </c>
      <c r="G1515" t="s">
        <v>17</v>
      </c>
      <c r="H1515" t="s">
        <v>32</v>
      </c>
      <c r="I1515" t="s">
        <v>33</v>
      </c>
      <c r="J1515" t="s">
        <v>34</v>
      </c>
      <c r="K1515" s="9">
        <v>43599</v>
      </c>
      <c r="L1515" s="10">
        <v>0.4201388888888889</v>
      </c>
      <c r="M1515" t="s">
        <v>35</v>
      </c>
      <c r="N1515" t="s">
        <v>2458</v>
      </c>
      <c r="O1515" t="s">
        <v>22</v>
      </c>
    </row>
    <row r="1516" spans="1:15" hidden="1">
      <c r="A1516" t="s">
        <v>15</v>
      </c>
      <c r="B1516" t="str">
        <f>"FES1162689467"</f>
        <v>FES1162689467</v>
      </c>
      <c r="C1516" s="9">
        <v>43598</v>
      </c>
      <c r="D1516">
        <v>1</v>
      </c>
      <c r="E1516">
        <v>2170688015</v>
      </c>
      <c r="F1516" t="s">
        <v>16</v>
      </c>
      <c r="G1516" t="s">
        <v>17</v>
      </c>
      <c r="H1516" t="s">
        <v>32</v>
      </c>
      <c r="I1516" t="s">
        <v>33</v>
      </c>
      <c r="J1516" t="s">
        <v>284</v>
      </c>
      <c r="K1516" s="9">
        <v>43599</v>
      </c>
      <c r="L1516" s="10">
        <v>0.43611111111111112</v>
      </c>
      <c r="M1516" t="s">
        <v>1840</v>
      </c>
      <c r="N1516" t="s">
        <v>2366</v>
      </c>
      <c r="O1516" t="s">
        <v>22</v>
      </c>
    </row>
    <row r="1517" spans="1:15" hidden="1">
      <c r="A1517" t="s">
        <v>15</v>
      </c>
      <c r="B1517" t="str">
        <f>"FES1162689506"</f>
        <v>FES1162689506</v>
      </c>
      <c r="C1517" s="9">
        <v>43598</v>
      </c>
      <c r="D1517">
        <v>1</v>
      </c>
      <c r="E1517">
        <v>2170688063</v>
      </c>
      <c r="F1517" t="s">
        <v>16</v>
      </c>
      <c r="G1517" t="s">
        <v>17</v>
      </c>
      <c r="H1517" t="s">
        <v>32</v>
      </c>
      <c r="I1517" t="s">
        <v>33</v>
      </c>
      <c r="J1517" t="s">
        <v>284</v>
      </c>
      <c r="K1517" s="9">
        <v>43599</v>
      </c>
      <c r="L1517" s="10">
        <v>0.43611111111111112</v>
      </c>
      <c r="M1517" t="s">
        <v>1840</v>
      </c>
      <c r="N1517" t="s">
        <v>2366</v>
      </c>
      <c r="O1517" t="s">
        <v>22</v>
      </c>
    </row>
    <row r="1518" spans="1:15" hidden="1">
      <c r="A1518" t="s">
        <v>15</v>
      </c>
      <c r="B1518" t="str">
        <f>"FES1162689544"</f>
        <v>FES1162689544</v>
      </c>
      <c r="C1518" s="9">
        <v>43598</v>
      </c>
      <c r="D1518">
        <v>1</v>
      </c>
      <c r="E1518">
        <v>2170688113</v>
      </c>
      <c r="F1518" t="s">
        <v>16</v>
      </c>
      <c r="G1518" t="s">
        <v>17</v>
      </c>
      <c r="H1518" t="s">
        <v>32</v>
      </c>
      <c r="I1518" t="s">
        <v>342</v>
      </c>
      <c r="J1518" t="s">
        <v>949</v>
      </c>
      <c r="K1518" s="9">
        <v>43599</v>
      </c>
      <c r="L1518" s="10">
        <v>0.35416666666666669</v>
      </c>
      <c r="M1518" t="s">
        <v>2459</v>
      </c>
      <c r="N1518" t="s">
        <v>2460</v>
      </c>
      <c r="O1518" t="s">
        <v>22</v>
      </c>
    </row>
    <row r="1519" spans="1:15" hidden="1">
      <c r="A1519" t="s">
        <v>15</v>
      </c>
      <c r="B1519" t="str">
        <f>"FES1162689512"</f>
        <v>FES1162689512</v>
      </c>
      <c r="C1519" s="9">
        <v>43598</v>
      </c>
      <c r="D1519">
        <v>1</v>
      </c>
      <c r="E1519">
        <v>2170688082</v>
      </c>
      <c r="F1519" t="s">
        <v>16</v>
      </c>
      <c r="G1519" t="s">
        <v>17</v>
      </c>
      <c r="H1519" t="s">
        <v>32</v>
      </c>
      <c r="I1519" t="s">
        <v>33</v>
      </c>
      <c r="J1519" t="s">
        <v>778</v>
      </c>
      <c r="K1519" s="9">
        <v>43599</v>
      </c>
      <c r="L1519" s="10">
        <v>0.38541666666666669</v>
      </c>
      <c r="M1519" t="s">
        <v>2452</v>
      </c>
      <c r="N1519" t="s">
        <v>2461</v>
      </c>
      <c r="O1519" t="s">
        <v>22</v>
      </c>
    </row>
    <row r="1520" spans="1:15" hidden="1">
      <c r="A1520" t="s">
        <v>15</v>
      </c>
      <c r="B1520" t="str">
        <f>"FES1162689474"</f>
        <v>FES1162689474</v>
      </c>
      <c r="C1520" s="9">
        <v>43598</v>
      </c>
      <c r="D1520">
        <v>1</v>
      </c>
      <c r="E1520">
        <v>2170688032</v>
      </c>
      <c r="F1520" t="s">
        <v>16</v>
      </c>
      <c r="G1520" t="s">
        <v>17</v>
      </c>
      <c r="H1520" t="s">
        <v>32</v>
      </c>
      <c r="I1520" t="s">
        <v>33</v>
      </c>
      <c r="J1520" t="s">
        <v>2462</v>
      </c>
      <c r="K1520" s="9">
        <v>43599</v>
      </c>
      <c r="L1520" s="10">
        <v>0.40138888888888885</v>
      </c>
      <c r="M1520" t="s">
        <v>2463</v>
      </c>
      <c r="N1520" t="s">
        <v>2464</v>
      </c>
      <c r="O1520" t="s">
        <v>22</v>
      </c>
    </row>
    <row r="1521" spans="1:15" hidden="1">
      <c r="A1521" t="s">
        <v>15</v>
      </c>
      <c r="B1521" t="str">
        <f>"FES1162689423"</f>
        <v>FES1162689423</v>
      </c>
      <c r="C1521" s="9">
        <v>43598</v>
      </c>
      <c r="D1521">
        <v>1</v>
      </c>
      <c r="E1521">
        <v>2170687998</v>
      </c>
      <c r="F1521" t="s">
        <v>16</v>
      </c>
      <c r="G1521" t="s">
        <v>17</v>
      </c>
      <c r="H1521" t="s">
        <v>32</v>
      </c>
      <c r="I1521" t="s">
        <v>33</v>
      </c>
      <c r="J1521" t="s">
        <v>360</v>
      </c>
      <c r="K1521" s="9">
        <v>43599</v>
      </c>
      <c r="L1521" s="10">
        <v>0.4201388888888889</v>
      </c>
      <c r="M1521" t="s">
        <v>793</v>
      </c>
      <c r="N1521" t="s">
        <v>2465</v>
      </c>
      <c r="O1521" t="s">
        <v>22</v>
      </c>
    </row>
    <row r="1522" spans="1:15" hidden="1">
      <c r="A1522" t="s">
        <v>15</v>
      </c>
      <c r="B1522" t="str">
        <f>"FES1162689389"</f>
        <v>FES1162689389</v>
      </c>
      <c r="C1522" s="9">
        <v>43598</v>
      </c>
      <c r="D1522">
        <v>1</v>
      </c>
      <c r="E1522">
        <v>2170687776</v>
      </c>
      <c r="F1522" t="s">
        <v>16</v>
      </c>
      <c r="G1522" t="s">
        <v>17</v>
      </c>
      <c r="H1522" t="s">
        <v>32</v>
      </c>
      <c r="I1522" t="s">
        <v>1198</v>
      </c>
      <c r="J1522" t="s">
        <v>1199</v>
      </c>
      <c r="K1522" t="s">
        <v>1730</v>
      </c>
      <c r="L1522"/>
      <c r="M1522" t="s">
        <v>1731</v>
      </c>
      <c r="N1522" t="s">
        <v>2388</v>
      </c>
      <c r="O1522" t="s">
        <v>22</v>
      </c>
    </row>
    <row r="1523" spans="1:15" hidden="1">
      <c r="A1523" t="s">
        <v>15</v>
      </c>
      <c r="B1523" t="str">
        <f>"FES1162689311"</f>
        <v>FES1162689311</v>
      </c>
      <c r="C1523" s="9">
        <v>43598</v>
      </c>
      <c r="D1523">
        <v>1</v>
      </c>
      <c r="E1523">
        <v>2170685224</v>
      </c>
      <c r="F1523" t="s">
        <v>16</v>
      </c>
      <c r="G1523" t="s">
        <v>17</v>
      </c>
      <c r="H1523" t="s">
        <v>32</v>
      </c>
      <c r="I1523" t="s">
        <v>269</v>
      </c>
      <c r="J1523" t="s">
        <v>609</v>
      </c>
      <c r="K1523" s="9">
        <v>43599</v>
      </c>
      <c r="L1523" s="10">
        <v>0.33680555555555558</v>
      </c>
      <c r="M1523" t="s">
        <v>2466</v>
      </c>
      <c r="N1523" t="s">
        <v>2467</v>
      </c>
      <c r="O1523" t="s">
        <v>22</v>
      </c>
    </row>
    <row r="1524" spans="1:15" hidden="1">
      <c r="A1524" t="s">
        <v>15</v>
      </c>
      <c r="B1524" t="str">
        <f>"FES1162689343"</f>
        <v>FES1162689343</v>
      </c>
      <c r="C1524" s="9">
        <v>43598</v>
      </c>
      <c r="D1524">
        <v>1</v>
      </c>
      <c r="E1524">
        <v>2170687905</v>
      </c>
      <c r="F1524" t="s">
        <v>16</v>
      </c>
      <c r="G1524" t="s">
        <v>17</v>
      </c>
      <c r="H1524" t="s">
        <v>32</v>
      </c>
      <c r="I1524" t="s">
        <v>269</v>
      </c>
      <c r="J1524" t="s">
        <v>1346</v>
      </c>
      <c r="K1524" s="9">
        <v>43599</v>
      </c>
      <c r="L1524" s="10">
        <v>0.34027777777777773</v>
      </c>
      <c r="M1524" t="s">
        <v>570</v>
      </c>
      <c r="N1524" t="s">
        <v>2468</v>
      </c>
      <c r="O1524" t="s">
        <v>22</v>
      </c>
    </row>
    <row r="1525" spans="1:15" hidden="1">
      <c r="A1525" t="s">
        <v>15</v>
      </c>
      <c r="B1525" t="str">
        <f>"FES1162689364"</f>
        <v>FES1162689364</v>
      </c>
      <c r="C1525" s="9">
        <v>43598</v>
      </c>
      <c r="D1525">
        <v>1</v>
      </c>
      <c r="E1525">
        <v>2170689364</v>
      </c>
      <c r="F1525" t="s">
        <v>16</v>
      </c>
      <c r="G1525" t="s">
        <v>17</v>
      </c>
      <c r="H1525" t="s">
        <v>32</v>
      </c>
      <c r="I1525" t="s">
        <v>33</v>
      </c>
      <c r="J1525" t="s">
        <v>360</v>
      </c>
      <c r="K1525" s="9">
        <v>43599</v>
      </c>
      <c r="L1525" s="10">
        <v>0.4201388888888889</v>
      </c>
      <c r="M1525" t="s">
        <v>361</v>
      </c>
      <c r="N1525" t="s">
        <v>2469</v>
      </c>
      <c r="O1525" t="s">
        <v>22</v>
      </c>
    </row>
    <row r="1526" spans="1:15" hidden="1">
      <c r="A1526" t="s">
        <v>15</v>
      </c>
      <c r="B1526" t="str">
        <f>"FES1162689195"</f>
        <v>FES1162689195</v>
      </c>
      <c r="C1526" s="9">
        <v>43598</v>
      </c>
      <c r="D1526">
        <v>1</v>
      </c>
      <c r="E1526">
        <v>2170687759</v>
      </c>
      <c r="F1526" t="s">
        <v>16</v>
      </c>
      <c r="G1526" t="s">
        <v>17</v>
      </c>
      <c r="H1526" t="s">
        <v>43</v>
      </c>
      <c r="I1526" t="s">
        <v>44</v>
      </c>
      <c r="J1526" t="s">
        <v>742</v>
      </c>
      <c r="K1526" s="9">
        <v>43599</v>
      </c>
      <c r="L1526" s="10">
        <v>0.39930555555555558</v>
      </c>
      <c r="M1526" t="s">
        <v>2470</v>
      </c>
      <c r="N1526" t="s">
        <v>2471</v>
      </c>
      <c r="O1526" t="s">
        <v>22</v>
      </c>
    </row>
    <row r="1527" spans="1:15" hidden="1">
      <c r="A1527" t="s">
        <v>15</v>
      </c>
      <c r="B1527" t="str">
        <f>"FES1162689244"</f>
        <v>FES1162689244</v>
      </c>
      <c r="C1527" s="9">
        <v>43598</v>
      </c>
      <c r="D1527">
        <v>1</v>
      </c>
      <c r="E1527">
        <v>2170687822</v>
      </c>
      <c r="F1527" t="s">
        <v>16</v>
      </c>
      <c r="G1527" t="s">
        <v>17</v>
      </c>
      <c r="H1527" t="s">
        <v>43</v>
      </c>
      <c r="I1527" t="s">
        <v>75</v>
      </c>
      <c r="J1527" t="s">
        <v>2472</v>
      </c>
      <c r="K1527" s="9">
        <v>43599</v>
      </c>
      <c r="L1527" s="10">
        <v>0.53055555555555556</v>
      </c>
      <c r="M1527" t="s">
        <v>2473</v>
      </c>
      <c r="N1527" t="s">
        <v>2474</v>
      </c>
      <c r="O1527" t="s">
        <v>22</v>
      </c>
    </row>
    <row r="1528" spans="1:15" hidden="1">
      <c r="A1528" t="s">
        <v>15</v>
      </c>
      <c r="B1528" t="str">
        <f>"FES1162689363"</f>
        <v>FES1162689363</v>
      </c>
      <c r="C1528" s="9">
        <v>43598</v>
      </c>
      <c r="D1528">
        <v>1</v>
      </c>
      <c r="E1528">
        <v>2170687938</v>
      </c>
      <c r="F1528" t="s">
        <v>16</v>
      </c>
      <c r="G1528" t="s">
        <v>17</v>
      </c>
      <c r="H1528" t="s">
        <v>43</v>
      </c>
      <c r="I1528" t="s">
        <v>54</v>
      </c>
      <c r="J1528" t="s">
        <v>55</v>
      </c>
      <c r="K1528" s="9">
        <v>43599</v>
      </c>
      <c r="L1528" s="10">
        <v>0.41666666666666669</v>
      </c>
      <c r="M1528" t="s">
        <v>2475</v>
      </c>
      <c r="N1528" t="s">
        <v>2476</v>
      </c>
      <c r="O1528" t="s">
        <v>22</v>
      </c>
    </row>
    <row r="1529" spans="1:15" hidden="1">
      <c r="A1529" t="s">
        <v>15</v>
      </c>
      <c r="B1529" t="str">
        <f>"FES1162689310"</f>
        <v>FES1162689310</v>
      </c>
      <c r="C1529" s="9">
        <v>43598</v>
      </c>
      <c r="D1529">
        <v>1</v>
      </c>
      <c r="E1529">
        <v>2170683604</v>
      </c>
      <c r="F1529" t="s">
        <v>16</v>
      </c>
      <c r="G1529" t="s">
        <v>17</v>
      </c>
      <c r="H1529" t="s">
        <v>43</v>
      </c>
      <c r="I1529" t="s">
        <v>44</v>
      </c>
      <c r="J1529" t="s">
        <v>236</v>
      </c>
      <c r="K1529" s="9">
        <v>43599</v>
      </c>
      <c r="L1529" s="10">
        <v>0.41666666666666669</v>
      </c>
      <c r="M1529" t="s">
        <v>2045</v>
      </c>
      <c r="N1529" t="s">
        <v>2477</v>
      </c>
      <c r="O1529" t="s">
        <v>22</v>
      </c>
    </row>
    <row r="1530" spans="1:15" hidden="1">
      <c r="A1530" t="s">
        <v>15</v>
      </c>
      <c r="B1530" t="str">
        <f>"FES1162689358"</f>
        <v>FES1162689358</v>
      </c>
      <c r="C1530" s="9">
        <v>43598</v>
      </c>
      <c r="D1530">
        <v>1</v>
      </c>
      <c r="E1530">
        <v>2170689358</v>
      </c>
      <c r="F1530" t="s">
        <v>16</v>
      </c>
      <c r="G1530" t="s">
        <v>17</v>
      </c>
      <c r="H1530" t="s">
        <v>43</v>
      </c>
      <c r="I1530" t="s">
        <v>738</v>
      </c>
      <c r="J1530" t="s">
        <v>339</v>
      </c>
      <c r="K1530" s="9">
        <v>43599</v>
      </c>
      <c r="L1530" s="10">
        <v>0.41666666666666669</v>
      </c>
      <c r="M1530" t="s">
        <v>1212</v>
      </c>
      <c r="N1530" t="s">
        <v>2478</v>
      </c>
      <c r="O1530" t="s">
        <v>22</v>
      </c>
    </row>
    <row r="1531" spans="1:15" hidden="1">
      <c r="A1531" t="s">
        <v>15</v>
      </c>
      <c r="B1531" t="str">
        <f>"FES1162689321"</f>
        <v>FES1162689321</v>
      </c>
      <c r="C1531" s="9">
        <v>43598</v>
      </c>
      <c r="D1531">
        <v>2</v>
      </c>
      <c r="E1531">
        <v>2170687424</v>
      </c>
      <c r="F1531" t="s">
        <v>58</v>
      </c>
      <c r="G1531" t="s">
        <v>59</v>
      </c>
      <c r="H1531" t="s">
        <v>43</v>
      </c>
      <c r="I1531" t="s">
        <v>60</v>
      </c>
      <c r="J1531" t="s">
        <v>61</v>
      </c>
      <c r="K1531" s="9">
        <v>43600</v>
      </c>
      <c r="L1531" s="10">
        <v>0.52500000000000002</v>
      </c>
      <c r="M1531" t="s">
        <v>1763</v>
      </c>
      <c r="N1531" t="s">
        <v>2479</v>
      </c>
      <c r="O1531" t="s">
        <v>22</v>
      </c>
    </row>
    <row r="1532" spans="1:15" hidden="1">
      <c r="A1532" t="s">
        <v>15</v>
      </c>
      <c r="B1532" t="str">
        <f>"FES1162689320"</f>
        <v>FES1162689320</v>
      </c>
      <c r="C1532" s="9">
        <v>43598</v>
      </c>
      <c r="D1532">
        <v>1</v>
      </c>
      <c r="E1532">
        <v>2170687359</v>
      </c>
      <c r="F1532" t="s">
        <v>16</v>
      </c>
      <c r="G1532" t="s">
        <v>17</v>
      </c>
      <c r="H1532" t="s">
        <v>43</v>
      </c>
      <c r="I1532" t="s">
        <v>44</v>
      </c>
      <c r="J1532" t="s">
        <v>2480</v>
      </c>
      <c r="K1532" s="9">
        <v>43599</v>
      </c>
      <c r="L1532" s="10">
        <v>0.41666666666666669</v>
      </c>
      <c r="M1532" t="s">
        <v>2045</v>
      </c>
      <c r="N1532" t="s">
        <v>2481</v>
      </c>
      <c r="O1532" t="s">
        <v>22</v>
      </c>
    </row>
    <row r="1533" spans="1:15" hidden="1">
      <c r="A1533" t="s">
        <v>15</v>
      </c>
      <c r="B1533" t="str">
        <f>"FES1162689329"</f>
        <v>FES1162689329</v>
      </c>
      <c r="C1533" s="9">
        <v>43598</v>
      </c>
      <c r="D1533">
        <v>1</v>
      </c>
      <c r="E1533">
        <v>2170687883</v>
      </c>
      <c r="F1533" t="s">
        <v>16</v>
      </c>
      <c r="G1533" t="s">
        <v>17</v>
      </c>
      <c r="H1533" t="s">
        <v>43</v>
      </c>
      <c r="I1533" t="s">
        <v>44</v>
      </c>
      <c r="J1533" t="s">
        <v>336</v>
      </c>
      <c r="K1533" s="9">
        <v>43599</v>
      </c>
      <c r="L1533" s="10">
        <v>0.41388888888888892</v>
      </c>
      <c r="M1533" t="s">
        <v>337</v>
      </c>
      <c r="N1533" t="s">
        <v>2482</v>
      </c>
      <c r="O1533" t="s">
        <v>22</v>
      </c>
    </row>
    <row r="1534" spans="1:15" hidden="1">
      <c r="A1534" t="s">
        <v>15</v>
      </c>
      <c r="B1534" t="str">
        <f>"FES1162689374"</f>
        <v>FES1162689374</v>
      </c>
      <c r="C1534" s="9">
        <v>43598</v>
      </c>
      <c r="D1534">
        <v>1</v>
      </c>
      <c r="E1534">
        <v>2170687938</v>
      </c>
      <c r="F1534" t="s">
        <v>16</v>
      </c>
      <c r="G1534" t="s">
        <v>17</v>
      </c>
      <c r="H1534" t="s">
        <v>43</v>
      </c>
      <c r="I1534" t="s">
        <v>54</v>
      </c>
      <c r="J1534" t="s">
        <v>55</v>
      </c>
      <c r="K1534" s="9">
        <v>43599</v>
      </c>
      <c r="L1534" s="10">
        <v>0.41666666666666669</v>
      </c>
      <c r="M1534" t="s">
        <v>2475</v>
      </c>
      <c r="N1534" t="s">
        <v>2483</v>
      </c>
      <c r="O1534" t="s">
        <v>22</v>
      </c>
    </row>
    <row r="1535" spans="1:15" hidden="1">
      <c r="A1535" t="s">
        <v>15</v>
      </c>
      <c r="B1535" t="str">
        <f>"FES1162689394"</f>
        <v>FES1162689394</v>
      </c>
      <c r="C1535" s="9">
        <v>43598</v>
      </c>
      <c r="D1535">
        <v>1</v>
      </c>
      <c r="E1535">
        <v>2170687959</v>
      </c>
      <c r="F1535" t="s">
        <v>16</v>
      </c>
      <c r="G1535" t="s">
        <v>17</v>
      </c>
      <c r="H1535" t="s">
        <v>43</v>
      </c>
      <c r="I1535" t="s">
        <v>44</v>
      </c>
      <c r="J1535" t="s">
        <v>72</v>
      </c>
      <c r="K1535" s="9">
        <v>43599</v>
      </c>
      <c r="L1535" s="10">
        <v>0.43541666666666662</v>
      </c>
      <c r="M1535" t="s">
        <v>1100</v>
      </c>
      <c r="N1535" t="s">
        <v>2484</v>
      </c>
      <c r="O1535" t="s">
        <v>22</v>
      </c>
    </row>
    <row r="1536" spans="1:15" hidden="1">
      <c r="A1536" t="s">
        <v>15</v>
      </c>
      <c r="B1536" t="str">
        <f>"FES1162689432"</f>
        <v>FES1162689432</v>
      </c>
      <c r="C1536" s="9">
        <v>43598</v>
      </c>
      <c r="D1536">
        <v>1</v>
      </c>
      <c r="E1536">
        <v>2170683562</v>
      </c>
      <c r="F1536" t="s">
        <v>16</v>
      </c>
      <c r="G1536" t="s">
        <v>17</v>
      </c>
      <c r="H1536" t="s">
        <v>43</v>
      </c>
      <c r="I1536" t="s">
        <v>44</v>
      </c>
      <c r="J1536" t="s">
        <v>236</v>
      </c>
      <c r="K1536" s="9">
        <v>43599</v>
      </c>
      <c r="L1536" s="10">
        <v>0.41666666666666669</v>
      </c>
      <c r="M1536" t="s">
        <v>2045</v>
      </c>
      <c r="N1536" t="s">
        <v>2485</v>
      </c>
      <c r="O1536" t="s">
        <v>22</v>
      </c>
    </row>
    <row r="1537" spans="1:15" hidden="1">
      <c r="A1537" t="s">
        <v>15</v>
      </c>
      <c r="B1537" t="str">
        <f>"FES1162689440"</f>
        <v>FES1162689440</v>
      </c>
      <c r="C1537" s="9">
        <v>43598</v>
      </c>
      <c r="D1537">
        <v>2</v>
      </c>
      <c r="E1537">
        <v>2170686092</v>
      </c>
      <c r="F1537" t="s">
        <v>16</v>
      </c>
      <c r="G1537" t="s">
        <v>17</v>
      </c>
      <c r="H1537" t="s">
        <v>43</v>
      </c>
      <c r="I1537" t="s">
        <v>75</v>
      </c>
      <c r="J1537" t="s">
        <v>811</v>
      </c>
      <c r="K1537" s="9">
        <v>43599</v>
      </c>
      <c r="L1537" s="10">
        <v>0.53472222222222221</v>
      </c>
      <c r="M1537" t="s">
        <v>1167</v>
      </c>
      <c r="N1537" t="s">
        <v>2486</v>
      </c>
      <c r="O1537" t="s">
        <v>22</v>
      </c>
    </row>
    <row r="1538" spans="1:15" hidden="1">
      <c r="A1538" t="s">
        <v>15</v>
      </c>
      <c r="B1538" t="str">
        <f>"FES1162689476"</f>
        <v>FES1162689476</v>
      </c>
      <c r="C1538" s="9">
        <v>43598</v>
      </c>
      <c r="D1538">
        <v>1</v>
      </c>
      <c r="E1538">
        <v>2170688034</v>
      </c>
      <c r="F1538" t="s">
        <v>16</v>
      </c>
      <c r="G1538" t="s">
        <v>17</v>
      </c>
      <c r="H1538" t="s">
        <v>43</v>
      </c>
      <c r="I1538" t="s">
        <v>44</v>
      </c>
      <c r="J1538" t="s">
        <v>748</v>
      </c>
      <c r="K1538" s="9">
        <v>43599</v>
      </c>
      <c r="L1538" s="10">
        <v>0.41666666666666669</v>
      </c>
      <c r="M1538" t="s">
        <v>1194</v>
      </c>
      <c r="N1538" t="s">
        <v>2487</v>
      </c>
      <c r="O1538" t="s">
        <v>22</v>
      </c>
    </row>
    <row r="1539" spans="1:15" hidden="1">
      <c r="A1539" t="s">
        <v>15</v>
      </c>
      <c r="B1539" t="str">
        <f>"FES1162689520"</f>
        <v>FES1162689520</v>
      </c>
      <c r="C1539" s="9">
        <v>43598</v>
      </c>
      <c r="D1539">
        <v>1</v>
      </c>
      <c r="E1539">
        <v>2170688089</v>
      </c>
      <c r="F1539" t="s">
        <v>16</v>
      </c>
      <c r="G1539" t="s">
        <v>17</v>
      </c>
      <c r="H1539" t="s">
        <v>43</v>
      </c>
      <c r="I1539" t="s">
        <v>44</v>
      </c>
      <c r="J1539" t="s">
        <v>51</v>
      </c>
      <c r="K1539" s="9">
        <v>43599</v>
      </c>
      <c r="L1539" s="10">
        <v>0.3576388888888889</v>
      </c>
      <c r="M1539" t="s">
        <v>2488</v>
      </c>
      <c r="N1539" t="s">
        <v>2489</v>
      </c>
      <c r="O1539" t="s">
        <v>22</v>
      </c>
    </row>
    <row r="1540" spans="1:15" hidden="1">
      <c r="A1540" t="s">
        <v>15</v>
      </c>
      <c r="B1540" t="str">
        <f>"FES1162689522"</f>
        <v>FES1162689522</v>
      </c>
      <c r="C1540" s="9">
        <v>43598</v>
      </c>
      <c r="D1540">
        <v>1</v>
      </c>
      <c r="E1540">
        <v>2170688091</v>
      </c>
      <c r="F1540" t="s">
        <v>16</v>
      </c>
      <c r="G1540" t="s">
        <v>17</v>
      </c>
      <c r="H1540" t="s">
        <v>43</v>
      </c>
      <c r="I1540" t="s">
        <v>44</v>
      </c>
      <c r="J1540" t="s">
        <v>51</v>
      </c>
      <c r="K1540" s="9">
        <v>43599</v>
      </c>
      <c r="L1540" s="10">
        <v>0.3576388888888889</v>
      </c>
      <c r="M1540" t="s">
        <v>2488</v>
      </c>
      <c r="N1540" t="s">
        <v>2490</v>
      </c>
      <c r="O1540" t="s">
        <v>22</v>
      </c>
    </row>
    <row r="1541" spans="1:15" hidden="1">
      <c r="A1541" t="s">
        <v>15</v>
      </c>
      <c r="B1541" t="str">
        <f>"FES1162689533"</f>
        <v>FES1162689533</v>
      </c>
      <c r="C1541" s="9">
        <v>43598</v>
      </c>
      <c r="D1541">
        <v>1</v>
      </c>
      <c r="E1541">
        <v>2170687786</v>
      </c>
      <c r="F1541" t="s">
        <v>16</v>
      </c>
      <c r="G1541" t="s">
        <v>17</v>
      </c>
      <c r="H1541" t="s">
        <v>43</v>
      </c>
      <c r="I1541" t="s">
        <v>44</v>
      </c>
      <c r="J1541" t="s">
        <v>2140</v>
      </c>
      <c r="K1541" s="9">
        <v>43599</v>
      </c>
      <c r="L1541" s="10">
        <v>0.41666666666666669</v>
      </c>
      <c r="M1541" t="s">
        <v>2491</v>
      </c>
      <c r="N1541" t="s">
        <v>2492</v>
      </c>
      <c r="O1541" t="s">
        <v>22</v>
      </c>
    </row>
    <row r="1542" spans="1:15" hidden="1">
      <c r="A1542" t="s">
        <v>15</v>
      </c>
      <c r="B1542" t="str">
        <f>"FES1162689560"</f>
        <v>FES1162689560</v>
      </c>
      <c r="C1542" s="9">
        <v>43598</v>
      </c>
      <c r="D1542">
        <v>1</v>
      </c>
      <c r="E1542">
        <v>2170688129</v>
      </c>
      <c r="F1542" t="s">
        <v>16</v>
      </c>
      <c r="G1542" t="s">
        <v>17</v>
      </c>
      <c r="H1542" t="s">
        <v>43</v>
      </c>
      <c r="I1542" t="s">
        <v>44</v>
      </c>
      <c r="J1542" t="s">
        <v>51</v>
      </c>
      <c r="K1542" s="9">
        <v>43599</v>
      </c>
      <c r="L1542" s="10">
        <v>0.35694444444444445</v>
      </c>
      <c r="M1542" t="s">
        <v>2488</v>
      </c>
      <c r="N1542" t="s">
        <v>2493</v>
      </c>
      <c r="O1542" t="s">
        <v>22</v>
      </c>
    </row>
    <row r="1543" spans="1:15" hidden="1">
      <c r="A1543" t="s">
        <v>15</v>
      </c>
      <c r="B1543" t="str">
        <f>"FES1162689566"</f>
        <v>FES1162689566</v>
      </c>
      <c r="C1543" s="9">
        <v>43598</v>
      </c>
      <c r="D1543">
        <v>1</v>
      </c>
      <c r="E1543">
        <v>2170687032</v>
      </c>
      <c r="F1543" t="s">
        <v>16</v>
      </c>
      <c r="G1543" t="s">
        <v>17</v>
      </c>
      <c r="H1543" t="s">
        <v>43</v>
      </c>
      <c r="I1543" t="s">
        <v>44</v>
      </c>
      <c r="J1543" t="s">
        <v>642</v>
      </c>
      <c r="K1543" s="9">
        <v>43599</v>
      </c>
      <c r="L1543" s="10">
        <v>0.34652777777777777</v>
      </c>
      <c r="M1543" t="s">
        <v>643</v>
      </c>
      <c r="N1543" t="s">
        <v>2494</v>
      </c>
      <c r="O1543" t="s">
        <v>22</v>
      </c>
    </row>
    <row r="1544" spans="1:15" hidden="1">
      <c r="A1544" t="s">
        <v>15</v>
      </c>
      <c r="B1544" t="str">
        <f>"009935723266"</f>
        <v>009935723266</v>
      </c>
      <c r="C1544" s="9">
        <v>43598</v>
      </c>
      <c r="D1544">
        <v>1</v>
      </c>
      <c r="E1544">
        <v>1162687073</v>
      </c>
      <c r="F1544" t="s">
        <v>16</v>
      </c>
      <c r="G1544" t="s">
        <v>17</v>
      </c>
      <c r="H1544" t="s">
        <v>43</v>
      </c>
      <c r="I1544" t="s">
        <v>60</v>
      </c>
      <c r="J1544" t="s">
        <v>61</v>
      </c>
      <c r="K1544" s="9">
        <v>43600</v>
      </c>
      <c r="L1544" s="10">
        <v>0.54652777777777783</v>
      </c>
      <c r="M1544" t="s">
        <v>2495</v>
      </c>
      <c r="N1544" t="s">
        <v>2496</v>
      </c>
      <c r="O1544" t="s">
        <v>2497</v>
      </c>
    </row>
    <row r="1545" spans="1:15" hidden="1">
      <c r="A1545" t="s">
        <v>15</v>
      </c>
      <c r="B1545" t="str">
        <f>"FES1162689454"</f>
        <v>FES1162689454</v>
      </c>
      <c r="C1545" s="9">
        <v>43598</v>
      </c>
      <c r="D1545">
        <v>1</v>
      </c>
      <c r="E1545">
        <v>2170687725</v>
      </c>
      <c r="F1545" t="s">
        <v>16</v>
      </c>
      <c r="G1545" t="s">
        <v>17</v>
      </c>
      <c r="H1545" t="s">
        <v>43</v>
      </c>
      <c r="I1545" t="s">
        <v>44</v>
      </c>
      <c r="J1545" t="s">
        <v>128</v>
      </c>
      <c r="K1545" s="9">
        <v>43599</v>
      </c>
      <c r="L1545" s="10">
        <v>0.36388888888888887</v>
      </c>
      <c r="M1545" t="s">
        <v>2498</v>
      </c>
      <c r="N1545" t="s">
        <v>2499</v>
      </c>
      <c r="O1545" t="s">
        <v>22</v>
      </c>
    </row>
    <row r="1546" spans="1:15" hidden="1">
      <c r="A1546" t="s">
        <v>15</v>
      </c>
      <c r="B1546" t="str">
        <f>"FES1162689442"</f>
        <v>FES1162689442</v>
      </c>
      <c r="C1546" s="9">
        <v>43598</v>
      </c>
      <c r="D1546">
        <v>1</v>
      </c>
      <c r="E1546">
        <v>2170688009</v>
      </c>
      <c r="F1546" t="s">
        <v>16</v>
      </c>
      <c r="G1546" t="s">
        <v>17</v>
      </c>
      <c r="H1546" t="s">
        <v>43</v>
      </c>
      <c r="I1546" t="s">
        <v>44</v>
      </c>
      <c r="J1546" t="s">
        <v>2500</v>
      </c>
      <c r="K1546" s="9">
        <v>43599</v>
      </c>
      <c r="L1546" s="10">
        <v>0.41666666666666669</v>
      </c>
      <c r="M1546" t="s">
        <v>2501</v>
      </c>
      <c r="N1546" t="s">
        <v>2502</v>
      </c>
      <c r="O1546" t="s">
        <v>22</v>
      </c>
    </row>
    <row r="1547" spans="1:15" hidden="1">
      <c r="A1547" t="s">
        <v>15</v>
      </c>
      <c r="B1547" t="str">
        <f>"FES1162689413"</f>
        <v>FES1162689413</v>
      </c>
      <c r="C1547" s="9">
        <v>43598</v>
      </c>
      <c r="D1547">
        <v>1</v>
      </c>
      <c r="E1547">
        <v>2170687977</v>
      </c>
      <c r="F1547" t="s">
        <v>16</v>
      </c>
      <c r="G1547" t="s">
        <v>17</v>
      </c>
      <c r="H1547" t="s">
        <v>43</v>
      </c>
      <c r="I1547" t="s">
        <v>44</v>
      </c>
      <c r="J1547" t="s">
        <v>48</v>
      </c>
      <c r="K1547" s="9">
        <v>43599</v>
      </c>
      <c r="L1547" s="10">
        <v>0.34166666666666662</v>
      </c>
      <c r="M1547" t="s">
        <v>49</v>
      </c>
      <c r="N1547" t="s">
        <v>2503</v>
      </c>
      <c r="O1547" t="s">
        <v>22</v>
      </c>
    </row>
    <row r="1548" spans="1:15" hidden="1">
      <c r="A1548" t="s">
        <v>15</v>
      </c>
      <c r="B1548" t="str">
        <f>"FES1162689396"</f>
        <v>FES1162689396</v>
      </c>
      <c r="C1548" s="9">
        <v>43598</v>
      </c>
      <c r="D1548">
        <v>1</v>
      </c>
      <c r="E1548">
        <v>2170687961</v>
      </c>
      <c r="F1548" t="s">
        <v>16</v>
      </c>
      <c r="G1548" t="s">
        <v>17</v>
      </c>
      <c r="H1548" t="s">
        <v>43</v>
      </c>
      <c r="I1548" t="s">
        <v>44</v>
      </c>
      <c r="J1548" t="s">
        <v>742</v>
      </c>
      <c r="K1548" s="9">
        <v>43599</v>
      </c>
      <c r="L1548" s="10">
        <v>0.39930555555555558</v>
      </c>
      <c r="M1548" t="s">
        <v>2470</v>
      </c>
      <c r="N1548" t="s">
        <v>2504</v>
      </c>
      <c r="O1548" t="s">
        <v>22</v>
      </c>
    </row>
    <row r="1549" spans="1:15" hidden="1">
      <c r="A1549" t="s">
        <v>15</v>
      </c>
      <c r="B1549" t="str">
        <f>"FES1162689331"</f>
        <v>FES1162689331</v>
      </c>
      <c r="C1549" s="9">
        <v>43598</v>
      </c>
      <c r="D1549">
        <v>1</v>
      </c>
      <c r="E1549">
        <v>2170687886</v>
      </c>
      <c r="F1549" t="s">
        <v>16</v>
      </c>
      <c r="G1549" t="s">
        <v>17</v>
      </c>
      <c r="H1549" t="s">
        <v>43</v>
      </c>
      <c r="I1549" t="s">
        <v>44</v>
      </c>
      <c r="J1549" t="s">
        <v>986</v>
      </c>
      <c r="K1549" s="9">
        <v>43599</v>
      </c>
      <c r="L1549" s="10">
        <v>0.41597222222222219</v>
      </c>
      <c r="M1549" t="s">
        <v>2505</v>
      </c>
      <c r="N1549" t="s">
        <v>2506</v>
      </c>
      <c r="O1549" t="s">
        <v>22</v>
      </c>
    </row>
    <row r="1550" spans="1:15" hidden="1">
      <c r="A1550" t="s">
        <v>15</v>
      </c>
      <c r="B1550" t="str">
        <f>"FES1162689299"</f>
        <v>FES1162689299</v>
      </c>
      <c r="C1550" s="9">
        <v>43598</v>
      </c>
      <c r="D1550">
        <v>1</v>
      </c>
      <c r="E1550">
        <v>2170687878</v>
      </c>
      <c r="F1550" t="s">
        <v>16</v>
      </c>
      <c r="G1550" t="s">
        <v>17</v>
      </c>
      <c r="H1550" t="s">
        <v>43</v>
      </c>
      <c r="I1550" t="s">
        <v>44</v>
      </c>
      <c r="J1550" t="s">
        <v>1618</v>
      </c>
      <c r="K1550" s="9">
        <v>43599</v>
      </c>
      <c r="L1550" s="10">
        <v>0.37638888888888888</v>
      </c>
      <c r="M1550" t="s">
        <v>2507</v>
      </c>
      <c r="N1550" t="s">
        <v>2508</v>
      </c>
      <c r="O1550" t="s">
        <v>22</v>
      </c>
    </row>
    <row r="1551" spans="1:15" hidden="1">
      <c r="A1551" t="s">
        <v>15</v>
      </c>
      <c r="B1551" t="str">
        <f>"FES1162689527"</f>
        <v>FES1162689527</v>
      </c>
      <c r="C1551" s="9">
        <v>43598</v>
      </c>
      <c r="D1551">
        <v>1</v>
      </c>
      <c r="E1551">
        <v>2170688094</v>
      </c>
      <c r="F1551" t="s">
        <v>16</v>
      </c>
      <c r="G1551" t="s">
        <v>17</v>
      </c>
      <c r="H1551" t="s">
        <v>43</v>
      </c>
      <c r="I1551" t="s">
        <v>44</v>
      </c>
      <c r="J1551" t="s">
        <v>2509</v>
      </c>
      <c r="K1551" s="9">
        <v>43599</v>
      </c>
      <c r="L1551" s="10">
        <v>0.3756944444444445</v>
      </c>
      <c r="M1551" t="s">
        <v>2510</v>
      </c>
      <c r="N1551" t="s">
        <v>2511</v>
      </c>
      <c r="O1551" t="s">
        <v>22</v>
      </c>
    </row>
    <row r="1552" spans="1:15" hidden="1">
      <c r="A1552" t="s">
        <v>15</v>
      </c>
      <c r="B1552" t="str">
        <f>"FES1162689552"</f>
        <v>FES1162689552</v>
      </c>
      <c r="C1552" s="9">
        <v>43598</v>
      </c>
      <c r="D1552">
        <v>1</v>
      </c>
      <c r="E1552">
        <v>2170688122</v>
      </c>
      <c r="F1552" t="s">
        <v>16</v>
      </c>
      <c r="G1552" t="s">
        <v>17</v>
      </c>
      <c r="H1552" t="s">
        <v>43</v>
      </c>
      <c r="I1552" t="s">
        <v>44</v>
      </c>
      <c r="J1552" t="s">
        <v>207</v>
      </c>
      <c r="K1552" s="9">
        <v>43599</v>
      </c>
      <c r="L1552" s="10">
        <v>0.41666666666666669</v>
      </c>
      <c r="M1552" t="s">
        <v>1265</v>
      </c>
      <c r="N1552" t="s">
        <v>2512</v>
      </c>
      <c r="O1552" t="s">
        <v>22</v>
      </c>
    </row>
    <row r="1553" spans="1:15" hidden="1">
      <c r="A1553" t="s">
        <v>15</v>
      </c>
      <c r="B1553" t="str">
        <f>"FES1162689071"</f>
        <v>FES1162689071</v>
      </c>
      <c r="C1553" s="9">
        <v>43598</v>
      </c>
      <c r="D1553">
        <v>1</v>
      </c>
      <c r="E1553">
        <v>2170687661</v>
      </c>
      <c r="F1553" t="s">
        <v>16</v>
      </c>
      <c r="G1553" t="s">
        <v>17</v>
      </c>
      <c r="H1553" t="s">
        <v>43</v>
      </c>
      <c r="I1553" t="s">
        <v>44</v>
      </c>
      <c r="J1553" t="s">
        <v>48</v>
      </c>
      <c r="K1553" s="9">
        <v>43599</v>
      </c>
      <c r="L1553" s="10">
        <v>0.34166666666666662</v>
      </c>
      <c r="M1553" t="s">
        <v>49</v>
      </c>
      <c r="N1553" t="s">
        <v>2513</v>
      </c>
      <c r="O1553" t="s">
        <v>22</v>
      </c>
    </row>
    <row r="1554" spans="1:15" hidden="1">
      <c r="A1554" t="s">
        <v>15</v>
      </c>
      <c r="B1554" t="str">
        <f>"FES1162689551"</f>
        <v>FES1162689551</v>
      </c>
      <c r="C1554" s="9">
        <v>43598</v>
      </c>
      <c r="D1554">
        <v>1</v>
      </c>
      <c r="E1554">
        <v>2170688121</v>
      </c>
      <c r="F1554" t="s">
        <v>16</v>
      </c>
      <c r="G1554" t="s">
        <v>17</v>
      </c>
      <c r="H1554" t="s">
        <v>43</v>
      </c>
      <c r="I1554" t="s">
        <v>44</v>
      </c>
      <c r="J1554" t="s">
        <v>207</v>
      </c>
      <c r="K1554" s="9">
        <v>43599</v>
      </c>
      <c r="L1554" s="10">
        <v>0.41666666666666669</v>
      </c>
      <c r="M1554" t="s">
        <v>1265</v>
      </c>
      <c r="N1554" t="s">
        <v>2514</v>
      </c>
      <c r="O1554" t="s">
        <v>22</v>
      </c>
    </row>
    <row r="1555" spans="1:15" hidden="1">
      <c r="A1555" t="s">
        <v>15</v>
      </c>
      <c r="B1555" t="str">
        <f>"FES1162689557"</f>
        <v>FES1162689557</v>
      </c>
      <c r="C1555" s="9">
        <v>43598</v>
      </c>
      <c r="D1555">
        <v>1</v>
      </c>
      <c r="E1555">
        <v>2170688119</v>
      </c>
      <c r="F1555" t="s">
        <v>16</v>
      </c>
      <c r="G1555" t="s">
        <v>17</v>
      </c>
      <c r="H1555" t="s">
        <v>43</v>
      </c>
      <c r="I1555" t="s">
        <v>75</v>
      </c>
      <c r="J1555" t="s">
        <v>222</v>
      </c>
      <c r="K1555" s="9">
        <v>43599</v>
      </c>
      <c r="L1555" s="10">
        <v>0.52083333333333337</v>
      </c>
      <c r="M1555" t="s">
        <v>2515</v>
      </c>
      <c r="N1555" t="s">
        <v>2516</v>
      </c>
      <c r="O1555" t="s">
        <v>22</v>
      </c>
    </row>
    <row r="1556" spans="1:15" hidden="1">
      <c r="A1556" t="s">
        <v>15</v>
      </c>
      <c r="B1556" t="str">
        <f>"FES1162689514"</f>
        <v>FES1162689514</v>
      </c>
      <c r="C1556" s="9">
        <v>43598</v>
      </c>
      <c r="D1556">
        <v>1</v>
      </c>
      <c r="E1556">
        <v>2170687533</v>
      </c>
      <c r="F1556" t="s">
        <v>16</v>
      </c>
      <c r="G1556" t="s">
        <v>17</v>
      </c>
      <c r="H1556" t="s">
        <v>43</v>
      </c>
      <c r="I1556" t="s">
        <v>44</v>
      </c>
      <c r="J1556" t="s">
        <v>748</v>
      </c>
      <c r="K1556" s="9">
        <v>43599</v>
      </c>
      <c r="L1556" s="10">
        <v>0.41666666666666669</v>
      </c>
      <c r="M1556" t="s">
        <v>1194</v>
      </c>
      <c r="N1556" t="s">
        <v>2517</v>
      </c>
      <c r="O1556" t="s">
        <v>22</v>
      </c>
    </row>
    <row r="1557" spans="1:15" hidden="1">
      <c r="A1557" t="s">
        <v>15</v>
      </c>
      <c r="B1557" t="str">
        <f>"FES1162689530"</f>
        <v>FES1162689530</v>
      </c>
      <c r="C1557" s="9">
        <v>43598</v>
      </c>
      <c r="D1557">
        <v>1</v>
      </c>
      <c r="E1557">
        <v>2170687773</v>
      </c>
      <c r="F1557" t="s">
        <v>16</v>
      </c>
      <c r="G1557" t="s">
        <v>17</v>
      </c>
      <c r="H1557" t="s">
        <v>43</v>
      </c>
      <c r="I1557" t="s">
        <v>44</v>
      </c>
      <c r="J1557" t="s">
        <v>51</v>
      </c>
      <c r="K1557" s="9">
        <v>43599</v>
      </c>
      <c r="L1557" s="10">
        <v>0.3576388888888889</v>
      </c>
      <c r="M1557" t="s">
        <v>2488</v>
      </c>
      <c r="N1557" t="s">
        <v>2518</v>
      </c>
      <c r="O1557" t="s">
        <v>22</v>
      </c>
    </row>
    <row r="1558" spans="1:15" hidden="1">
      <c r="A1558" t="s">
        <v>15</v>
      </c>
      <c r="B1558" t="str">
        <f>"FES1162689449"</f>
        <v>FES1162689449</v>
      </c>
      <c r="C1558" s="9">
        <v>43598</v>
      </c>
      <c r="D1558">
        <v>1</v>
      </c>
      <c r="E1558">
        <v>217687410</v>
      </c>
      <c r="F1558" t="s">
        <v>16</v>
      </c>
      <c r="G1558" t="s">
        <v>17</v>
      </c>
      <c r="H1558" t="s">
        <v>43</v>
      </c>
      <c r="I1558" t="s">
        <v>75</v>
      </c>
      <c r="J1558" t="s">
        <v>222</v>
      </c>
      <c r="K1558" s="9">
        <v>43599</v>
      </c>
      <c r="L1558" s="10">
        <v>0.52083333333333337</v>
      </c>
      <c r="M1558" t="s">
        <v>2519</v>
      </c>
      <c r="N1558" t="s">
        <v>2520</v>
      </c>
      <c r="O1558" t="s">
        <v>22</v>
      </c>
    </row>
    <row r="1559" spans="1:15" hidden="1">
      <c r="A1559" t="s">
        <v>15</v>
      </c>
      <c r="B1559" t="str">
        <f>"FES1162689485"</f>
        <v>FES1162689485</v>
      </c>
      <c r="C1559" s="9">
        <v>43598</v>
      </c>
      <c r="D1559">
        <v>1</v>
      </c>
      <c r="E1559">
        <v>2170688045</v>
      </c>
      <c r="F1559" t="s">
        <v>16</v>
      </c>
      <c r="G1559" t="s">
        <v>17</v>
      </c>
      <c r="H1559" t="s">
        <v>43</v>
      </c>
      <c r="I1559" t="s">
        <v>44</v>
      </c>
      <c r="J1559" t="s">
        <v>48</v>
      </c>
      <c r="K1559" s="9">
        <v>43599</v>
      </c>
      <c r="L1559" s="10">
        <v>0.34166666666666662</v>
      </c>
      <c r="M1559" t="s">
        <v>49</v>
      </c>
      <c r="N1559" t="s">
        <v>2521</v>
      </c>
      <c r="O1559" t="s">
        <v>22</v>
      </c>
    </row>
    <row r="1560" spans="1:15" hidden="1">
      <c r="A1560" t="s">
        <v>15</v>
      </c>
      <c r="B1560" t="str">
        <f>"FES1162689482"</f>
        <v>FES1162689482</v>
      </c>
      <c r="C1560" s="9">
        <v>43598</v>
      </c>
      <c r="D1560">
        <v>1</v>
      </c>
      <c r="E1560">
        <v>2170688042</v>
      </c>
      <c r="F1560" t="s">
        <v>16</v>
      </c>
      <c r="G1560" t="s">
        <v>17</v>
      </c>
      <c r="H1560" t="s">
        <v>43</v>
      </c>
      <c r="I1560" t="s">
        <v>44</v>
      </c>
      <c r="J1560" t="s">
        <v>48</v>
      </c>
      <c r="K1560" s="9">
        <v>43599</v>
      </c>
      <c r="L1560" s="10">
        <v>0.34166666666666662</v>
      </c>
      <c r="M1560" t="s">
        <v>49</v>
      </c>
      <c r="N1560" t="s">
        <v>2522</v>
      </c>
      <c r="O1560" t="s">
        <v>22</v>
      </c>
    </row>
    <row r="1561" spans="1:15" hidden="1">
      <c r="A1561" t="s">
        <v>15</v>
      </c>
      <c r="B1561" t="str">
        <f>"FES1162689416"</f>
        <v>FES1162689416</v>
      </c>
      <c r="C1561" s="9">
        <v>43598</v>
      </c>
      <c r="D1561">
        <v>1</v>
      </c>
      <c r="E1561">
        <v>2170687986</v>
      </c>
      <c r="F1561" t="s">
        <v>16</v>
      </c>
      <c r="G1561" t="s">
        <v>17</v>
      </c>
      <c r="H1561" t="s">
        <v>43</v>
      </c>
      <c r="I1561" t="s">
        <v>44</v>
      </c>
      <c r="J1561" t="s">
        <v>48</v>
      </c>
      <c r="K1561" s="9">
        <v>43599</v>
      </c>
      <c r="L1561" s="10">
        <v>0.34166666666666662</v>
      </c>
      <c r="M1561" t="s">
        <v>49</v>
      </c>
      <c r="N1561" t="s">
        <v>2523</v>
      </c>
      <c r="O1561" t="s">
        <v>22</v>
      </c>
    </row>
    <row r="1562" spans="1:15" hidden="1">
      <c r="A1562" t="s">
        <v>15</v>
      </c>
      <c r="B1562" t="str">
        <f>"FES1162689417"</f>
        <v>FES1162689417</v>
      </c>
      <c r="C1562" s="9">
        <v>43598</v>
      </c>
      <c r="D1562">
        <v>1</v>
      </c>
      <c r="E1562">
        <v>2170687989</v>
      </c>
      <c r="F1562" t="s">
        <v>16</v>
      </c>
      <c r="G1562" t="s">
        <v>17</v>
      </c>
      <c r="H1562" t="s">
        <v>43</v>
      </c>
      <c r="I1562" t="s">
        <v>44</v>
      </c>
      <c r="J1562" t="s">
        <v>2524</v>
      </c>
      <c r="K1562" s="9">
        <v>43599</v>
      </c>
      <c r="L1562" s="10">
        <v>0.37638888888888888</v>
      </c>
      <c r="M1562" t="s">
        <v>2525</v>
      </c>
      <c r="N1562" t="s">
        <v>2526</v>
      </c>
      <c r="O1562" t="s">
        <v>22</v>
      </c>
    </row>
    <row r="1563" spans="1:15" hidden="1">
      <c r="A1563" t="s">
        <v>15</v>
      </c>
      <c r="B1563" t="str">
        <f>"FES1162689567"</f>
        <v>FES1162689567</v>
      </c>
      <c r="C1563" s="9">
        <v>43598</v>
      </c>
      <c r="D1563">
        <v>2</v>
      </c>
      <c r="E1563">
        <v>2170686057</v>
      </c>
      <c r="F1563" t="s">
        <v>58</v>
      </c>
      <c r="G1563" t="s">
        <v>59</v>
      </c>
      <c r="H1563" t="s">
        <v>43</v>
      </c>
      <c r="I1563" t="s">
        <v>44</v>
      </c>
      <c r="J1563" t="s">
        <v>51</v>
      </c>
      <c r="K1563" s="9">
        <v>43600</v>
      </c>
      <c r="L1563" s="10">
        <v>0.4236111111111111</v>
      </c>
      <c r="M1563" t="s">
        <v>646</v>
      </c>
      <c r="N1563" t="s">
        <v>2527</v>
      </c>
      <c r="O1563" t="s">
        <v>22</v>
      </c>
    </row>
    <row r="1564" spans="1:15" hidden="1">
      <c r="A1564" t="s">
        <v>15</v>
      </c>
      <c r="B1564" t="str">
        <f>"FES1162689430"</f>
        <v>FES1162689430</v>
      </c>
      <c r="C1564" s="9">
        <v>43598</v>
      </c>
      <c r="D1564">
        <v>1</v>
      </c>
      <c r="E1564">
        <v>2170681871</v>
      </c>
      <c r="F1564" t="s">
        <v>58</v>
      </c>
      <c r="G1564" t="s">
        <v>59</v>
      </c>
      <c r="H1564" t="s">
        <v>141</v>
      </c>
      <c r="I1564" t="s">
        <v>142</v>
      </c>
      <c r="J1564" t="s">
        <v>2528</v>
      </c>
      <c r="K1564" s="9">
        <v>43599</v>
      </c>
      <c r="L1564" s="10">
        <v>0.59097222222222223</v>
      </c>
      <c r="M1564" t="s">
        <v>2529</v>
      </c>
      <c r="N1564" t="s">
        <v>2530</v>
      </c>
      <c r="O1564" t="s">
        <v>22</v>
      </c>
    </row>
    <row r="1565" spans="1:15" hidden="1">
      <c r="A1565" t="s">
        <v>15</v>
      </c>
      <c r="B1565" t="str">
        <f>"FES1162689547"</f>
        <v>FES1162689547</v>
      </c>
      <c r="C1565" s="9">
        <v>43598</v>
      </c>
      <c r="D1565">
        <v>2</v>
      </c>
      <c r="E1565">
        <v>2170679293</v>
      </c>
      <c r="F1565" t="s">
        <v>58</v>
      </c>
      <c r="G1565" t="s">
        <v>59</v>
      </c>
      <c r="H1565" t="s">
        <v>141</v>
      </c>
      <c r="I1565" t="s">
        <v>142</v>
      </c>
      <c r="J1565" t="s">
        <v>880</v>
      </c>
      <c r="K1565" s="9">
        <v>43599</v>
      </c>
      <c r="L1565" s="10">
        <v>0.57777777777777783</v>
      </c>
      <c r="M1565" t="s">
        <v>2531</v>
      </c>
      <c r="N1565" t="s">
        <v>2532</v>
      </c>
      <c r="O1565" t="s">
        <v>22</v>
      </c>
    </row>
    <row r="1566" spans="1:15" hidden="1">
      <c r="A1566" t="s">
        <v>15</v>
      </c>
      <c r="B1566" t="str">
        <f>"FES1162689334"</f>
        <v>FES1162689334</v>
      </c>
      <c r="C1566" s="9">
        <v>43598</v>
      </c>
      <c r="D1566">
        <v>1</v>
      </c>
      <c r="E1566">
        <v>2170687891</v>
      </c>
      <c r="F1566" t="s">
        <v>58</v>
      </c>
      <c r="G1566" t="s">
        <v>59</v>
      </c>
      <c r="H1566" t="s">
        <v>2533</v>
      </c>
      <c r="I1566" t="s">
        <v>2422</v>
      </c>
      <c r="J1566" t="s">
        <v>1008</v>
      </c>
      <c r="K1566" s="9">
        <v>43600</v>
      </c>
      <c r="L1566" t="s">
        <v>1323</v>
      </c>
      <c r="M1566" t="s">
        <v>2534</v>
      </c>
      <c r="N1566" t="s">
        <v>2535</v>
      </c>
      <c r="O1566" t="s">
        <v>22</v>
      </c>
    </row>
    <row r="1567" spans="1:15" hidden="1">
      <c r="A1567" t="s">
        <v>15</v>
      </c>
      <c r="B1567" t="str">
        <f>"FES1162689406"</f>
        <v>FES1162689406</v>
      </c>
      <c r="C1567" s="9">
        <v>43598</v>
      </c>
      <c r="D1567">
        <v>2</v>
      </c>
      <c r="E1567">
        <v>2170687676</v>
      </c>
      <c r="F1567" t="s">
        <v>58</v>
      </c>
      <c r="G1567" t="s">
        <v>59</v>
      </c>
      <c r="H1567" t="s">
        <v>32</v>
      </c>
      <c r="I1567" t="s">
        <v>33</v>
      </c>
      <c r="J1567" t="s">
        <v>1438</v>
      </c>
      <c r="K1567" s="9">
        <v>43600</v>
      </c>
      <c r="L1567" s="10">
        <v>0.37847222222222227</v>
      </c>
      <c r="M1567" t="s">
        <v>2536</v>
      </c>
      <c r="N1567" t="s">
        <v>2537</v>
      </c>
      <c r="O1567" t="s">
        <v>494</v>
      </c>
    </row>
    <row r="1568" spans="1:15" hidden="1">
      <c r="A1568" t="s">
        <v>15</v>
      </c>
      <c r="B1568" t="str">
        <f>"FES1162689543"</f>
        <v>FES1162689543</v>
      </c>
      <c r="C1568" s="9">
        <v>43598</v>
      </c>
      <c r="D1568">
        <v>1</v>
      </c>
      <c r="E1568">
        <v>2170688112</v>
      </c>
      <c r="F1568" t="s">
        <v>58</v>
      </c>
      <c r="G1568" t="s">
        <v>59</v>
      </c>
      <c r="H1568" t="s">
        <v>32</v>
      </c>
      <c r="I1568" t="s">
        <v>33</v>
      </c>
      <c r="J1568" t="s">
        <v>790</v>
      </c>
      <c r="K1568" s="9">
        <v>43600</v>
      </c>
      <c r="L1568" s="10">
        <v>0.46527777777777773</v>
      </c>
      <c r="M1568" t="s">
        <v>2538</v>
      </c>
      <c r="N1568" t="s">
        <v>2539</v>
      </c>
      <c r="O1568" t="s">
        <v>494</v>
      </c>
    </row>
    <row r="1569" spans="1:15" hidden="1">
      <c r="A1569" t="s">
        <v>15</v>
      </c>
      <c r="B1569" t="str">
        <f>"FES1162689323"</f>
        <v>FES1162689323</v>
      </c>
      <c r="C1569" s="9">
        <v>43598</v>
      </c>
      <c r="D1569">
        <v>1</v>
      </c>
      <c r="E1569">
        <v>2170687724</v>
      </c>
      <c r="F1569" t="s">
        <v>16</v>
      </c>
      <c r="G1569" t="s">
        <v>17</v>
      </c>
      <c r="H1569" t="s">
        <v>132</v>
      </c>
      <c r="I1569" t="s">
        <v>133</v>
      </c>
      <c r="J1569" t="s">
        <v>182</v>
      </c>
      <c r="K1569" s="9">
        <v>43599</v>
      </c>
      <c r="L1569" s="10">
        <v>0.35000000000000003</v>
      </c>
      <c r="M1569" t="s">
        <v>2540</v>
      </c>
      <c r="N1569" t="s">
        <v>2541</v>
      </c>
      <c r="O1569" t="s">
        <v>22</v>
      </c>
    </row>
    <row r="1570" spans="1:15" hidden="1">
      <c r="A1570" t="s">
        <v>15</v>
      </c>
      <c r="B1570" t="str">
        <f>"FES1162689434"</f>
        <v>FES1162689434</v>
      </c>
      <c r="C1570" s="9">
        <v>43598</v>
      </c>
      <c r="D1570">
        <v>1</v>
      </c>
      <c r="E1570">
        <v>2170684473</v>
      </c>
      <c r="F1570" t="s">
        <v>16</v>
      </c>
      <c r="G1570" t="s">
        <v>17</v>
      </c>
      <c r="H1570" t="s">
        <v>132</v>
      </c>
      <c r="I1570" t="s">
        <v>137</v>
      </c>
      <c r="J1570" t="s">
        <v>138</v>
      </c>
      <c r="K1570" s="9">
        <v>43599</v>
      </c>
      <c r="L1570" s="10">
        <v>0.46388888888888885</v>
      </c>
      <c r="M1570" t="s">
        <v>2542</v>
      </c>
      <c r="N1570" t="s">
        <v>2543</v>
      </c>
      <c r="O1570" t="s">
        <v>22</v>
      </c>
    </row>
    <row r="1571" spans="1:15" hidden="1">
      <c r="A1571" t="s">
        <v>15</v>
      </c>
      <c r="B1571" t="str">
        <f>"FES1162689418"</f>
        <v>FES1162689418</v>
      </c>
      <c r="C1571" s="9">
        <v>43598</v>
      </c>
      <c r="D1571">
        <v>1</v>
      </c>
      <c r="E1571">
        <v>2170687990</v>
      </c>
      <c r="F1571" t="s">
        <v>16</v>
      </c>
      <c r="G1571" t="s">
        <v>17</v>
      </c>
      <c r="H1571" t="s">
        <v>132</v>
      </c>
      <c r="I1571" t="s">
        <v>133</v>
      </c>
      <c r="J1571" t="s">
        <v>639</v>
      </c>
      <c r="K1571" s="9">
        <v>43599</v>
      </c>
      <c r="L1571" s="10">
        <v>0.36736111111111108</v>
      </c>
      <c r="M1571" t="s">
        <v>2544</v>
      </c>
      <c r="N1571" t="s">
        <v>2545</v>
      </c>
      <c r="O1571" t="s">
        <v>22</v>
      </c>
    </row>
    <row r="1572" spans="1:15" hidden="1">
      <c r="A1572" t="s">
        <v>15</v>
      </c>
      <c r="B1572" t="str">
        <f>"FES1162689318"</f>
        <v>FES1162689318</v>
      </c>
      <c r="C1572" s="9">
        <v>43598</v>
      </c>
      <c r="D1572">
        <v>3</v>
      </c>
      <c r="E1572">
        <v>2170686662</v>
      </c>
      <c r="F1572" t="s">
        <v>16</v>
      </c>
      <c r="G1572" t="s">
        <v>17</v>
      </c>
      <c r="H1572" t="s">
        <v>132</v>
      </c>
      <c r="I1572" t="s">
        <v>133</v>
      </c>
      <c r="J1572" t="s">
        <v>189</v>
      </c>
      <c r="K1572" s="9">
        <v>43599</v>
      </c>
      <c r="L1572" s="10">
        <v>0.40625</v>
      </c>
      <c r="M1572" t="s">
        <v>259</v>
      </c>
      <c r="N1572" t="s">
        <v>2546</v>
      </c>
      <c r="O1572" t="s">
        <v>22</v>
      </c>
    </row>
    <row r="1573" spans="1:15" hidden="1">
      <c r="A1573" t="s">
        <v>15</v>
      </c>
      <c r="B1573" t="str">
        <f>"FES1162689411"</f>
        <v>FES1162689411</v>
      </c>
      <c r="C1573" s="9">
        <v>43598</v>
      </c>
      <c r="D1573">
        <v>1</v>
      </c>
      <c r="E1573">
        <v>2170687974</v>
      </c>
      <c r="F1573" t="s">
        <v>16</v>
      </c>
      <c r="G1573" t="s">
        <v>17</v>
      </c>
      <c r="H1573" t="s">
        <v>132</v>
      </c>
      <c r="I1573" t="s">
        <v>133</v>
      </c>
      <c r="J1573" t="s">
        <v>639</v>
      </c>
      <c r="K1573" s="9">
        <v>43599</v>
      </c>
      <c r="L1573" s="10">
        <v>0.36736111111111108</v>
      </c>
      <c r="M1573" t="s">
        <v>2544</v>
      </c>
      <c r="N1573" t="s">
        <v>2547</v>
      </c>
      <c r="O1573" t="s">
        <v>22</v>
      </c>
    </row>
    <row r="1574" spans="1:15" hidden="1">
      <c r="A1574" t="s">
        <v>15</v>
      </c>
      <c r="B1574" t="str">
        <f>"FES1162689346"</f>
        <v>FES1162689346</v>
      </c>
      <c r="C1574" s="9">
        <v>43598</v>
      </c>
      <c r="D1574">
        <v>1</v>
      </c>
      <c r="E1574">
        <v>2170687908</v>
      </c>
      <c r="F1574" t="s">
        <v>16</v>
      </c>
      <c r="G1574" t="s">
        <v>17</v>
      </c>
      <c r="H1574" t="s">
        <v>132</v>
      </c>
      <c r="I1574" t="s">
        <v>133</v>
      </c>
      <c r="J1574" t="s">
        <v>238</v>
      </c>
      <c r="K1574" s="9">
        <v>43599</v>
      </c>
      <c r="L1574" s="10">
        <v>0.33333333333333331</v>
      </c>
      <c r="M1574" t="s">
        <v>989</v>
      </c>
      <c r="N1574" t="s">
        <v>2388</v>
      </c>
      <c r="O1574" t="s">
        <v>22</v>
      </c>
    </row>
    <row r="1575" spans="1:15" hidden="1">
      <c r="A1575" t="s">
        <v>15</v>
      </c>
      <c r="B1575" t="str">
        <f>"FES1162689409"</f>
        <v>FES1162689409</v>
      </c>
      <c r="C1575" s="9">
        <v>43598</v>
      </c>
      <c r="D1575">
        <v>1</v>
      </c>
      <c r="E1575">
        <v>2170687972</v>
      </c>
      <c r="F1575" t="s">
        <v>16</v>
      </c>
      <c r="G1575" t="s">
        <v>17</v>
      </c>
      <c r="H1575" t="s">
        <v>132</v>
      </c>
      <c r="I1575" t="s">
        <v>133</v>
      </c>
      <c r="J1575" t="s">
        <v>639</v>
      </c>
      <c r="K1575" s="9">
        <v>43599</v>
      </c>
      <c r="L1575" s="10">
        <v>0.36805555555555558</v>
      </c>
      <c r="M1575" t="s">
        <v>2544</v>
      </c>
      <c r="N1575" t="s">
        <v>2548</v>
      </c>
      <c r="O1575" t="s">
        <v>22</v>
      </c>
    </row>
    <row r="1576" spans="1:15" hidden="1">
      <c r="A1576" t="s">
        <v>15</v>
      </c>
      <c r="B1576" t="str">
        <f>"FES1162689563"</f>
        <v>FES1162689563</v>
      </c>
      <c r="C1576" s="9">
        <v>43598</v>
      </c>
      <c r="D1576">
        <v>1</v>
      </c>
      <c r="E1576">
        <v>2170688133</v>
      </c>
      <c r="F1576" t="s">
        <v>16</v>
      </c>
      <c r="G1576" t="s">
        <v>17</v>
      </c>
      <c r="H1576" t="s">
        <v>132</v>
      </c>
      <c r="I1576" t="s">
        <v>133</v>
      </c>
      <c r="J1576" t="s">
        <v>1813</v>
      </c>
      <c r="K1576" s="9">
        <v>43599</v>
      </c>
      <c r="L1576" s="10">
        <v>0.36736111111111108</v>
      </c>
      <c r="M1576" t="s">
        <v>1814</v>
      </c>
      <c r="N1576" t="s">
        <v>2549</v>
      </c>
      <c r="O1576" t="s">
        <v>22</v>
      </c>
    </row>
    <row r="1577" spans="1:15" hidden="1">
      <c r="A1577" t="s">
        <v>15</v>
      </c>
      <c r="B1577" t="str">
        <f>"FES1162689532"</f>
        <v>FES1162689532</v>
      </c>
      <c r="C1577" s="9">
        <v>43598</v>
      </c>
      <c r="D1577">
        <v>1</v>
      </c>
      <c r="E1577">
        <v>2170687682</v>
      </c>
      <c r="F1577" t="s">
        <v>58</v>
      </c>
      <c r="G1577" t="s">
        <v>59</v>
      </c>
      <c r="H1577" t="s">
        <v>141</v>
      </c>
      <c r="I1577" t="s">
        <v>137</v>
      </c>
      <c r="J1577" t="s">
        <v>138</v>
      </c>
      <c r="K1577" s="9">
        <v>43599</v>
      </c>
      <c r="L1577" s="10">
        <v>0.46388888888888885</v>
      </c>
      <c r="M1577" t="s">
        <v>2542</v>
      </c>
      <c r="N1577" t="s">
        <v>2550</v>
      </c>
      <c r="O1577" t="s">
        <v>494</v>
      </c>
    </row>
    <row r="1578" spans="1:15" hidden="1">
      <c r="A1578" t="s">
        <v>15</v>
      </c>
      <c r="B1578" t="str">
        <f>"FES1162689419"</f>
        <v>FES1162689419</v>
      </c>
      <c r="C1578" s="9">
        <v>43598</v>
      </c>
      <c r="D1578">
        <v>1</v>
      </c>
      <c r="E1578">
        <v>2170687991</v>
      </c>
      <c r="F1578" t="s">
        <v>16</v>
      </c>
      <c r="G1578" t="s">
        <v>17</v>
      </c>
      <c r="H1578" t="s">
        <v>121</v>
      </c>
      <c r="I1578" t="s">
        <v>2551</v>
      </c>
      <c r="J1578" t="s">
        <v>2552</v>
      </c>
      <c r="K1578" s="9">
        <v>43600</v>
      </c>
      <c r="L1578" s="10">
        <v>0.5</v>
      </c>
      <c r="M1578" t="s">
        <v>2553</v>
      </c>
      <c r="N1578" t="s">
        <v>2554</v>
      </c>
      <c r="O1578" t="s">
        <v>22</v>
      </c>
    </row>
    <row r="1579" spans="1:15" hidden="1">
      <c r="A1579" t="s">
        <v>15</v>
      </c>
      <c r="B1579" t="str">
        <f>"FES1162689330"</f>
        <v>FES1162689330</v>
      </c>
      <c r="C1579" s="9">
        <v>43598</v>
      </c>
      <c r="D1579">
        <v>1</v>
      </c>
      <c r="E1579">
        <v>2170687885</v>
      </c>
      <c r="F1579" t="s">
        <v>16</v>
      </c>
      <c r="G1579" t="s">
        <v>17</v>
      </c>
      <c r="H1579" t="s">
        <v>1474</v>
      </c>
      <c r="I1579" t="s">
        <v>1475</v>
      </c>
      <c r="J1579" t="s">
        <v>1476</v>
      </c>
      <c r="K1579" s="9">
        <v>43599</v>
      </c>
      <c r="L1579" s="10">
        <v>0.57222222222222219</v>
      </c>
      <c r="M1579" t="s">
        <v>2555</v>
      </c>
      <c r="N1579" t="s">
        <v>2416</v>
      </c>
      <c r="O1579" t="s">
        <v>22</v>
      </c>
    </row>
    <row r="1580" spans="1:15" hidden="1">
      <c r="A1580" t="s">
        <v>15</v>
      </c>
      <c r="B1580" t="str">
        <f>"FES1162688923"</f>
        <v>FES1162688923</v>
      </c>
      <c r="C1580" s="9">
        <v>43598</v>
      </c>
      <c r="D1580">
        <v>1</v>
      </c>
      <c r="E1580">
        <v>2170687521</v>
      </c>
      <c r="F1580" t="s">
        <v>16</v>
      </c>
      <c r="G1580" t="s">
        <v>17</v>
      </c>
      <c r="H1580" t="s">
        <v>290</v>
      </c>
      <c r="I1580" t="s">
        <v>291</v>
      </c>
      <c r="J1580" t="s">
        <v>1744</v>
      </c>
      <c r="K1580" s="9">
        <v>43599</v>
      </c>
      <c r="L1580" s="10">
        <v>0.3527777777777778</v>
      </c>
      <c r="M1580" t="s">
        <v>2556</v>
      </c>
      <c r="N1580" t="s">
        <v>2416</v>
      </c>
      <c r="O1580" t="s">
        <v>22</v>
      </c>
    </row>
    <row r="1581" spans="1:15" hidden="1">
      <c r="A1581" t="s">
        <v>15</v>
      </c>
      <c r="B1581" t="str">
        <f>"FES1162689094"</f>
        <v>FES1162689094</v>
      </c>
      <c r="C1581" s="9">
        <v>43598</v>
      </c>
      <c r="D1581">
        <v>1</v>
      </c>
      <c r="E1581">
        <v>2170683000</v>
      </c>
      <c r="F1581" t="s">
        <v>16</v>
      </c>
      <c r="G1581" t="s">
        <v>17</v>
      </c>
      <c r="H1581" t="s">
        <v>290</v>
      </c>
      <c r="I1581" t="s">
        <v>291</v>
      </c>
      <c r="J1581" t="s">
        <v>1293</v>
      </c>
      <c r="K1581" s="9">
        <v>43599</v>
      </c>
      <c r="L1581" s="10">
        <v>0.36458333333333331</v>
      </c>
      <c r="M1581" t="s">
        <v>2557</v>
      </c>
      <c r="N1581" t="s">
        <v>2558</v>
      </c>
      <c r="O1581" t="s">
        <v>22</v>
      </c>
    </row>
    <row r="1582" spans="1:15" hidden="1">
      <c r="A1582" t="s">
        <v>15</v>
      </c>
      <c r="B1582" t="str">
        <f>"FES1162688951"</f>
        <v>FES1162688951</v>
      </c>
      <c r="C1582" s="9">
        <v>43598</v>
      </c>
      <c r="D1582">
        <v>1</v>
      </c>
      <c r="E1582">
        <v>2170686560</v>
      </c>
      <c r="F1582" t="s">
        <v>16</v>
      </c>
      <c r="G1582" t="s">
        <v>17</v>
      </c>
      <c r="H1582" t="s">
        <v>290</v>
      </c>
      <c r="I1582" t="s">
        <v>291</v>
      </c>
      <c r="J1582" t="s">
        <v>297</v>
      </c>
      <c r="K1582" s="9">
        <v>43599</v>
      </c>
      <c r="L1582" s="10">
        <v>0.3611111111111111</v>
      </c>
      <c r="M1582" t="s">
        <v>2559</v>
      </c>
      <c r="N1582" t="s">
        <v>2366</v>
      </c>
      <c r="O1582" t="s">
        <v>22</v>
      </c>
    </row>
    <row r="1583" spans="1:15" hidden="1">
      <c r="A1583" t="s">
        <v>15</v>
      </c>
      <c r="B1583" t="str">
        <f>"FES1162689491"</f>
        <v>FES1162689491</v>
      </c>
      <c r="C1583" s="9">
        <v>43598</v>
      </c>
      <c r="D1583">
        <v>1</v>
      </c>
      <c r="E1583">
        <v>2170688051</v>
      </c>
      <c r="F1583" t="s">
        <v>16</v>
      </c>
      <c r="G1583" t="s">
        <v>17</v>
      </c>
      <c r="H1583" t="s">
        <v>290</v>
      </c>
      <c r="I1583" t="s">
        <v>291</v>
      </c>
      <c r="J1583" t="s">
        <v>1187</v>
      </c>
      <c r="K1583" s="9">
        <v>43599</v>
      </c>
      <c r="L1583" s="10">
        <v>0.43055555555555558</v>
      </c>
      <c r="M1583" t="s">
        <v>2560</v>
      </c>
      <c r="N1583" t="s">
        <v>2561</v>
      </c>
      <c r="O1583" t="s">
        <v>22</v>
      </c>
    </row>
    <row r="1584" spans="1:15" hidden="1">
      <c r="A1584" t="s">
        <v>15</v>
      </c>
      <c r="B1584" t="str">
        <f>"FES1162689426"</f>
        <v>FES1162689426</v>
      </c>
      <c r="C1584" s="9">
        <v>43598</v>
      </c>
      <c r="D1584">
        <v>1</v>
      </c>
      <c r="E1584">
        <v>2170688000</v>
      </c>
      <c r="F1584" t="s">
        <v>16</v>
      </c>
      <c r="G1584" t="s">
        <v>17</v>
      </c>
      <c r="H1584" t="s">
        <v>290</v>
      </c>
      <c r="I1584" t="s">
        <v>291</v>
      </c>
      <c r="J1584" t="s">
        <v>2562</v>
      </c>
      <c r="K1584" s="9">
        <v>43599</v>
      </c>
      <c r="L1584" s="10">
        <v>0.41666666666666669</v>
      </c>
      <c r="M1584" t="s">
        <v>2563</v>
      </c>
      <c r="N1584" t="s">
        <v>2564</v>
      </c>
      <c r="O1584" t="s">
        <v>22</v>
      </c>
    </row>
    <row r="1585" spans="1:15" hidden="1">
      <c r="A1585" t="s">
        <v>15</v>
      </c>
      <c r="B1585" t="str">
        <f>"FES1162689437"</f>
        <v>FES1162689437</v>
      </c>
      <c r="C1585" s="9">
        <v>43598</v>
      </c>
      <c r="D1585">
        <v>1</v>
      </c>
      <c r="E1585">
        <v>2170684909</v>
      </c>
      <c r="F1585" t="s">
        <v>16</v>
      </c>
      <c r="G1585" t="s">
        <v>17</v>
      </c>
      <c r="H1585" t="s">
        <v>290</v>
      </c>
      <c r="I1585" t="s">
        <v>601</v>
      </c>
      <c r="J1585" t="s">
        <v>602</v>
      </c>
      <c r="K1585" s="9">
        <v>43599</v>
      </c>
      <c r="L1585" s="10">
        <v>0.60416666666666663</v>
      </c>
      <c r="M1585" t="s">
        <v>1830</v>
      </c>
      <c r="N1585" t="s">
        <v>2565</v>
      </c>
      <c r="O1585" t="s">
        <v>22</v>
      </c>
    </row>
    <row r="1586" spans="1:15" hidden="1">
      <c r="A1586" t="s">
        <v>15</v>
      </c>
      <c r="B1586" t="str">
        <f>"FES1162688998"</f>
        <v>FES1162688998</v>
      </c>
      <c r="C1586" s="9">
        <v>43598</v>
      </c>
      <c r="D1586">
        <v>1</v>
      </c>
      <c r="E1586">
        <v>2170687591</v>
      </c>
      <c r="F1586" t="s">
        <v>16</v>
      </c>
      <c r="G1586" t="s">
        <v>17</v>
      </c>
      <c r="H1586" t="s">
        <v>290</v>
      </c>
      <c r="I1586" t="s">
        <v>291</v>
      </c>
      <c r="J1586" t="s">
        <v>609</v>
      </c>
      <c r="K1586" s="9">
        <v>43599</v>
      </c>
      <c r="L1586" s="10">
        <v>0.42152777777777778</v>
      </c>
      <c r="M1586" t="s">
        <v>2566</v>
      </c>
      <c r="N1586" t="s">
        <v>2567</v>
      </c>
      <c r="O1586" t="s">
        <v>22</v>
      </c>
    </row>
    <row r="1587" spans="1:15" hidden="1">
      <c r="A1587" t="s">
        <v>15</v>
      </c>
      <c r="B1587" t="str">
        <f>"FES1162689383"</f>
        <v>FES1162689383</v>
      </c>
      <c r="C1587" s="9">
        <v>43598</v>
      </c>
      <c r="D1587">
        <v>1</v>
      </c>
      <c r="E1587">
        <v>2170687955</v>
      </c>
      <c r="F1587" t="s">
        <v>16</v>
      </c>
      <c r="G1587" t="s">
        <v>17</v>
      </c>
      <c r="H1587" t="s">
        <v>290</v>
      </c>
      <c r="I1587" t="s">
        <v>291</v>
      </c>
      <c r="J1587" t="s">
        <v>297</v>
      </c>
      <c r="K1587" s="9">
        <v>43599</v>
      </c>
      <c r="L1587" s="10">
        <v>0.3611111111111111</v>
      </c>
      <c r="M1587" t="s">
        <v>2559</v>
      </c>
      <c r="N1587" t="s">
        <v>2409</v>
      </c>
      <c r="O1587" t="s">
        <v>22</v>
      </c>
    </row>
    <row r="1588" spans="1:15" hidden="1">
      <c r="A1588" t="s">
        <v>15</v>
      </c>
      <c r="B1588" t="str">
        <f>"FES1162689317"</f>
        <v>FES1162689317</v>
      </c>
      <c r="C1588" s="9">
        <v>43598</v>
      </c>
      <c r="D1588">
        <v>1</v>
      </c>
      <c r="E1588">
        <v>2170686590</v>
      </c>
      <c r="F1588" t="s">
        <v>16</v>
      </c>
      <c r="G1588" t="s">
        <v>17</v>
      </c>
      <c r="H1588" t="s">
        <v>290</v>
      </c>
      <c r="I1588" t="s">
        <v>291</v>
      </c>
      <c r="J1588" t="s">
        <v>297</v>
      </c>
      <c r="K1588" s="9">
        <v>43599</v>
      </c>
      <c r="L1588" s="10">
        <v>0.3611111111111111</v>
      </c>
      <c r="M1588" t="s">
        <v>2559</v>
      </c>
      <c r="N1588" t="s">
        <v>2409</v>
      </c>
      <c r="O1588" t="s">
        <v>22</v>
      </c>
    </row>
    <row r="1589" spans="1:15" hidden="1">
      <c r="A1589" t="s">
        <v>15</v>
      </c>
      <c r="B1589" t="str">
        <f>"FES1162689483"</f>
        <v>FES1162689483</v>
      </c>
      <c r="C1589" s="9">
        <v>43598</v>
      </c>
      <c r="D1589">
        <v>1</v>
      </c>
      <c r="E1589">
        <v>2170688043</v>
      </c>
      <c r="F1589" t="s">
        <v>16</v>
      </c>
      <c r="G1589" t="s">
        <v>17</v>
      </c>
      <c r="H1589" t="s">
        <v>290</v>
      </c>
      <c r="I1589" t="s">
        <v>291</v>
      </c>
      <c r="J1589" t="s">
        <v>297</v>
      </c>
      <c r="K1589" s="9">
        <v>43599</v>
      </c>
      <c r="L1589" s="10">
        <v>0.3611111111111111</v>
      </c>
      <c r="M1589" t="s">
        <v>2559</v>
      </c>
      <c r="N1589" t="s">
        <v>2409</v>
      </c>
      <c r="O1589" t="s">
        <v>22</v>
      </c>
    </row>
    <row r="1590" spans="1:15" hidden="1">
      <c r="A1590" t="s">
        <v>15</v>
      </c>
      <c r="B1590" t="str">
        <f>"FES1162689387"</f>
        <v>FES1162689387</v>
      </c>
      <c r="C1590" s="9">
        <v>43598</v>
      </c>
      <c r="D1590">
        <v>1</v>
      </c>
      <c r="E1590">
        <v>2170687615</v>
      </c>
      <c r="F1590" t="s">
        <v>16</v>
      </c>
      <c r="G1590" t="s">
        <v>17</v>
      </c>
      <c r="H1590" t="s">
        <v>1055</v>
      </c>
      <c r="I1590" t="s">
        <v>2050</v>
      </c>
      <c r="J1590" t="s">
        <v>2051</v>
      </c>
      <c r="K1590" s="9">
        <v>43599</v>
      </c>
      <c r="L1590" s="10">
        <v>0.375</v>
      </c>
      <c r="M1590" t="s">
        <v>2568</v>
      </c>
      <c r="N1590" t="s">
        <v>2569</v>
      </c>
      <c r="O1590" t="s">
        <v>22</v>
      </c>
    </row>
    <row r="1591" spans="1:15" hidden="1">
      <c r="A1591" t="s">
        <v>15</v>
      </c>
      <c r="B1591" t="str">
        <f>"FES1162689315"</f>
        <v>FES1162689315</v>
      </c>
      <c r="C1591" s="9">
        <v>43598</v>
      </c>
      <c r="D1591">
        <v>1</v>
      </c>
      <c r="E1591">
        <v>2170686563</v>
      </c>
      <c r="F1591" t="s">
        <v>16</v>
      </c>
      <c r="G1591" t="s">
        <v>17</v>
      </c>
      <c r="H1591" t="s">
        <v>300</v>
      </c>
      <c r="I1591" t="s">
        <v>301</v>
      </c>
      <c r="J1591" t="s">
        <v>2570</v>
      </c>
      <c r="K1591" s="9">
        <v>43599</v>
      </c>
      <c r="L1591" s="10">
        <v>0.41736111111111113</v>
      </c>
      <c r="M1591" t="s">
        <v>2571</v>
      </c>
      <c r="N1591" t="s">
        <v>2572</v>
      </c>
      <c r="O1591" t="s">
        <v>22</v>
      </c>
    </row>
    <row r="1592" spans="1:15">
      <c r="A1592" s="6" t="s">
        <v>15</v>
      </c>
      <c r="B1592" s="6" t="str">
        <f>"FES1162689341"</f>
        <v>FES1162689341</v>
      </c>
      <c r="C1592" s="7">
        <v>43598</v>
      </c>
      <c r="D1592" s="6">
        <v>1</v>
      </c>
      <c r="E1592" s="6">
        <v>2170687902</v>
      </c>
      <c r="F1592" s="6" t="s">
        <v>16</v>
      </c>
      <c r="G1592" s="6" t="s">
        <v>17</v>
      </c>
      <c r="H1592" s="6" t="s">
        <v>17</v>
      </c>
      <c r="I1592" s="6" t="s">
        <v>64</v>
      </c>
      <c r="J1592" s="6" t="s">
        <v>2573</v>
      </c>
      <c r="K1592" s="7">
        <v>43599</v>
      </c>
      <c r="L1592" s="8">
        <v>0.35416666666666669</v>
      </c>
      <c r="M1592" s="6" t="s">
        <v>2574</v>
      </c>
      <c r="N1592" s="6" t="s">
        <v>21</v>
      </c>
      <c r="O1592" s="6" t="s">
        <v>22</v>
      </c>
    </row>
    <row r="1593" spans="1:15">
      <c r="A1593" s="6" t="s">
        <v>15</v>
      </c>
      <c r="B1593" s="6" t="str">
        <f>"FES1162689407"</f>
        <v>FES1162689407</v>
      </c>
      <c r="C1593" s="7">
        <v>43598</v>
      </c>
      <c r="D1593" s="6">
        <v>1</v>
      </c>
      <c r="E1593" s="6">
        <v>2170687963</v>
      </c>
      <c r="F1593" s="6" t="s">
        <v>16</v>
      </c>
      <c r="G1593" s="6" t="s">
        <v>17</v>
      </c>
      <c r="H1593" s="6" t="s">
        <v>17</v>
      </c>
      <c r="I1593" s="6" t="s">
        <v>64</v>
      </c>
      <c r="J1593" s="6" t="s">
        <v>1434</v>
      </c>
      <c r="K1593" s="7">
        <v>43599</v>
      </c>
      <c r="L1593" s="8">
        <v>0.41666666666666669</v>
      </c>
      <c r="M1593" s="6" t="s">
        <v>2575</v>
      </c>
      <c r="N1593" s="6" t="s">
        <v>21</v>
      </c>
      <c r="O1593" s="6" t="s">
        <v>22</v>
      </c>
    </row>
    <row r="1594" spans="1:15" hidden="1">
      <c r="A1594" t="s">
        <v>15</v>
      </c>
      <c r="B1594" t="str">
        <f>"FES1162689349"</f>
        <v>FES1162689349</v>
      </c>
      <c r="C1594" s="9">
        <v>43598</v>
      </c>
      <c r="D1594">
        <v>1</v>
      </c>
      <c r="E1594">
        <v>2170687914</v>
      </c>
      <c r="F1594" t="s">
        <v>16</v>
      </c>
      <c r="G1594" t="s">
        <v>17</v>
      </c>
      <c r="H1594" t="s">
        <v>290</v>
      </c>
      <c r="I1594" t="s">
        <v>291</v>
      </c>
      <c r="J1594" t="s">
        <v>1293</v>
      </c>
      <c r="K1594" s="9">
        <v>43599</v>
      </c>
      <c r="L1594" s="10">
        <v>0.36458333333333331</v>
      </c>
      <c r="M1594" t="s">
        <v>2557</v>
      </c>
      <c r="N1594" t="s">
        <v>2576</v>
      </c>
      <c r="O1594" t="s">
        <v>22</v>
      </c>
    </row>
    <row r="1595" spans="1:15" hidden="1">
      <c r="A1595" t="s">
        <v>15</v>
      </c>
      <c r="B1595" t="str">
        <f>"FES1162689427"</f>
        <v>FES1162689427</v>
      </c>
      <c r="C1595" s="9">
        <v>43598</v>
      </c>
      <c r="D1595">
        <v>1</v>
      </c>
      <c r="E1595">
        <v>2170688002</v>
      </c>
      <c r="F1595" t="s">
        <v>16</v>
      </c>
      <c r="G1595" t="s">
        <v>17</v>
      </c>
      <c r="H1595" t="s">
        <v>290</v>
      </c>
      <c r="I1595" t="s">
        <v>291</v>
      </c>
      <c r="J1595" t="s">
        <v>2577</v>
      </c>
      <c r="K1595" s="9">
        <v>43599</v>
      </c>
      <c r="L1595" s="10">
        <v>0.53472222222222221</v>
      </c>
      <c r="M1595" t="s">
        <v>2578</v>
      </c>
      <c r="N1595" t="s">
        <v>2579</v>
      </c>
      <c r="O1595" t="s">
        <v>22</v>
      </c>
    </row>
    <row r="1596" spans="1:15" hidden="1">
      <c r="A1596" t="s">
        <v>15</v>
      </c>
      <c r="B1596" t="str">
        <f>"009935723265"</f>
        <v>009935723265</v>
      </c>
      <c r="C1596" s="9">
        <v>43598</v>
      </c>
      <c r="D1596">
        <v>1</v>
      </c>
      <c r="E1596">
        <v>1162687740</v>
      </c>
      <c r="F1596" t="s">
        <v>16</v>
      </c>
      <c r="G1596" t="s">
        <v>17</v>
      </c>
      <c r="H1596" t="s">
        <v>290</v>
      </c>
      <c r="I1596" t="s">
        <v>291</v>
      </c>
      <c r="J1596" t="s">
        <v>297</v>
      </c>
      <c r="K1596" s="9">
        <v>43599</v>
      </c>
      <c r="L1596" s="10">
        <v>0.3611111111111111</v>
      </c>
      <c r="M1596" t="s">
        <v>2559</v>
      </c>
      <c r="N1596" t="s">
        <v>2366</v>
      </c>
      <c r="O1596" t="s">
        <v>22</v>
      </c>
    </row>
    <row r="1597" spans="1:15" hidden="1">
      <c r="A1597" t="s">
        <v>15</v>
      </c>
      <c r="B1597" t="str">
        <f>"FES1162689529"</f>
        <v>FES1162689529</v>
      </c>
      <c r="C1597" s="9">
        <v>43598</v>
      </c>
      <c r="D1597">
        <v>1</v>
      </c>
      <c r="E1597">
        <v>2170688099</v>
      </c>
      <c r="F1597" t="s">
        <v>16</v>
      </c>
      <c r="G1597" t="s">
        <v>17</v>
      </c>
      <c r="H1597" t="s">
        <v>290</v>
      </c>
      <c r="I1597" t="s">
        <v>309</v>
      </c>
      <c r="J1597" t="s">
        <v>331</v>
      </c>
      <c r="K1597" s="9">
        <v>43599</v>
      </c>
      <c r="L1597" s="10">
        <v>0.41666666666666669</v>
      </c>
      <c r="M1597" t="s">
        <v>332</v>
      </c>
      <c r="N1597" t="s">
        <v>2409</v>
      </c>
      <c r="O1597" t="s">
        <v>22</v>
      </c>
    </row>
    <row r="1598" spans="1:15" hidden="1">
      <c r="A1598" t="s">
        <v>15</v>
      </c>
      <c r="B1598" t="str">
        <f>"FES1162689260"</f>
        <v>FES1162689260</v>
      </c>
      <c r="C1598" s="9">
        <v>43598</v>
      </c>
      <c r="D1598">
        <v>1</v>
      </c>
      <c r="E1598">
        <v>2170687830</v>
      </c>
      <c r="F1598" t="s">
        <v>16</v>
      </c>
      <c r="G1598" t="s">
        <v>17</v>
      </c>
      <c r="H1598" t="s">
        <v>290</v>
      </c>
      <c r="I1598" t="s">
        <v>291</v>
      </c>
      <c r="J1598" t="s">
        <v>1744</v>
      </c>
      <c r="K1598" s="9">
        <v>43599</v>
      </c>
      <c r="L1598" s="10">
        <v>0.3527777777777778</v>
      </c>
      <c r="M1598" t="s">
        <v>2556</v>
      </c>
      <c r="N1598" t="s">
        <v>2388</v>
      </c>
      <c r="O1598" t="s">
        <v>22</v>
      </c>
    </row>
    <row r="1599" spans="1:15" hidden="1">
      <c r="A1599" t="s">
        <v>15</v>
      </c>
      <c r="B1599" t="str">
        <f>"FES1162689047"</f>
        <v>FES1162689047</v>
      </c>
      <c r="C1599" s="9">
        <v>43598</v>
      </c>
      <c r="D1599">
        <v>1</v>
      </c>
      <c r="E1599">
        <v>2170687628</v>
      </c>
      <c r="F1599" t="s">
        <v>16</v>
      </c>
      <c r="G1599" t="s">
        <v>17</v>
      </c>
      <c r="H1599" t="s">
        <v>290</v>
      </c>
      <c r="I1599" t="s">
        <v>291</v>
      </c>
      <c r="J1599" t="s">
        <v>2577</v>
      </c>
      <c r="K1599" s="9">
        <v>43599</v>
      </c>
      <c r="L1599" s="10">
        <v>0.53472222222222221</v>
      </c>
      <c r="M1599" t="s">
        <v>2578</v>
      </c>
      <c r="N1599" t="s">
        <v>2580</v>
      </c>
      <c r="O1599" t="s">
        <v>22</v>
      </c>
    </row>
    <row r="1600" spans="1:15" hidden="1">
      <c r="A1600" t="s">
        <v>15</v>
      </c>
      <c r="B1600" t="str">
        <f>"FES1162689264"</f>
        <v>FES1162689264</v>
      </c>
      <c r="C1600" s="9">
        <v>43598</v>
      </c>
      <c r="D1600">
        <v>1</v>
      </c>
      <c r="E1600">
        <v>2170687835</v>
      </c>
      <c r="F1600" t="s">
        <v>16</v>
      </c>
      <c r="G1600" t="s">
        <v>17</v>
      </c>
      <c r="H1600" t="s">
        <v>290</v>
      </c>
      <c r="I1600" t="s">
        <v>291</v>
      </c>
      <c r="J1600" t="s">
        <v>1744</v>
      </c>
      <c r="K1600" s="9">
        <v>43599</v>
      </c>
      <c r="L1600" s="10">
        <v>0.3527777777777778</v>
      </c>
      <c r="M1600" t="s">
        <v>2556</v>
      </c>
      <c r="N1600" t="s">
        <v>2388</v>
      </c>
      <c r="O1600" t="s">
        <v>22</v>
      </c>
    </row>
    <row r="1601" spans="1:15" hidden="1">
      <c r="A1601" t="s">
        <v>15</v>
      </c>
      <c r="B1601" t="str">
        <f>"FES1162689404"</f>
        <v>FES1162689404</v>
      </c>
      <c r="C1601" s="9">
        <v>43598</v>
      </c>
      <c r="D1601">
        <v>1</v>
      </c>
      <c r="E1601">
        <v>2170685790</v>
      </c>
      <c r="F1601" t="s">
        <v>16</v>
      </c>
      <c r="G1601" t="s">
        <v>17</v>
      </c>
      <c r="H1601" t="s">
        <v>290</v>
      </c>
      <c r="I1601" t="s">
        <v>291</v>
      </c>
      <c r="J1601" t="s">
        <v>1630</v>
      </c>
      <c r="K1601" s="9">
        <v>43599</v>
      </c>
      <c r="L1601" s="10">
        <v>0.375</v>
      </c>
      <c r="M1601" t="s">
        <v>1528</v>
      </c>
      <c r="N1601" t="s">
        <v>2581</v>
      </c>
      <c r="O1601" t="s">
        <v>22</v>
      </c>
    </row>
    <row r="1602" spans="1:15" hidden="1">
      <c r="A1602" t="s">
        <v>15</v>
      </c>
      <c r="B1602" t="str">
        <f>"FES1162689450"</f>
        <v>FES1162689450</v>
      </c>
      <c r="C1602" s="9">
        <v>43598</v>
      </c>
      <c r="D1602">
        <v>1</v>
      </c>
      <c r="E1602">
        <v>2170687479</v>
      </c>
      <c r="F1602" t="s">
        <v>16</v>
      </c>
      <c r="G1602" t="s">
        <v>17</v>
      </c>
      <c r="H1602" t="s">
        <v>290</v>
      </c>
      <c r="I1602" t="s">
        <v>291</v>
      </c>
      <c r="J1602" t="s">
        <v>609</v>
      </c>
      <c r="K1602" s="9">
        <v>43599</v>
      </c>
      <c r="L1602" s="10">
        <v>0.42152777777777778</v>
      </c>
      <c r="M1602" t="s">
        <v>2566</v>
      </c>
      <c r="N1602" t="s">
        <v>2582</v>
      </c>
      <c r="O1602" t="s">
        <v>22</v>
      </c>
    </row>
    <row r="1603" spans="1:15" hidden="1">
      <c r="A1603" t="s">
        <v>15</v>
      </c>
      <c r="B1603" t="str">
        <f>"FES1162688927"</f>
        <v>FES1162688927</v>
      </c>
      <c r="C1603" s="9">
        <v>43598</v>
      </c>
      <c r="D1603">
        <v>1</v>
      </c>
      <c r="E1603">
        <v>2170687527</v>
      </c>
      <c r="F1603" t="s">
        <v>16</v>
      </c>
      <c r="G1603" t="s">
        <v>17</v>
      </c>
      <c r="H1603" t="s">
        <v>290</v>
      </c>
      <c r="I1603" t="s">
        <v>291</v>
      </c>
      <c r="J1603" t="s">
        <v>1041</v>
      </c>
      <c r="K1603" s="9">
        <v>43599</v>
      </c>
      <c r="L1603" s="10">
        <v>0.36805555555555558</v>
      </c>
      <c r="M1603" t="s">
        <v>2583</v>
      </c>
      <c r="N1603" t="s">
        <v>2584</v>
      </c>
      <c r="O1603" t="s">
        <v>22</v>
      </c>
    </row>
    <row r="1604" spans="1:15">
      <c r="A1604" s="6" t="s">
        <v>15</v>
      </c>
      <c r="B1604" s="6" t="str">
        <f>"FES1162689488"</f>
        <v>FES1162689488</v>
      </c>
      <c r="C1604" s="7">
        <v>43598</v>
      </c>
      <c r="D1604" s="6">
        <v>1</v>
      </c>
      <c r="E1604" s="6">
        <v>2170688048</v>
      </c>
      <c r="F1604" s="6" t="s">
        <v>16</v>
      </c>
      <c r="G1604" s="6" t="s">
        <v>17</v>
      </c>
      <c r="H1604" s="6" t="s">
        <v>17</v>
      </c>
      <c r="I1604" s="6" t="s">
        <v>421</v>
      </c>
      <c r="J1604" s="6" t="s">
        <v>422</v>
      </c>
      <c r="K1604" s="7">
        <v>43599</v>
      </c>
      <c r="L1604" s="8">
        <v>0.39861111111111108</v>
      </c>
      <c r="M1604" s="6" t="s">
        <v>2585</v>
      </c>
      <c r="N1604" s="6" t="s">
        <v>21</v>
      </c>
      <c r="O1604" s="6" t="s">
        <v>22</v>
      </c>
    </row>
    <row r="1605" spans="1:15">
      <c r="A1605" s="6" t="s">
        <v>15</v>
      </c>
      <c r="B1605" s="6" t="str">
        <f>"FES1162689539"</f>
        <v>FES1162689539</v>
      </c>
      <c r="C1605" s="7">
        <v>43598</v>
      </c>
      <c r="D1605" s="6">
        <v>1</v>
      </c>
      <c r="E1605" s="6">
        <v>2170688105</v>
      </c>
      <c r="F1605" s="6" t="s">
        <v>16</v>
      </c>
      <c r="G1605" s="6" t="s">
        <v>17</v>
      </c>
      <c r="H1605" s="6" t="s">
        <v>17</v>
      </c>
      <c r="I1605" s="6" t="s">
        <v>421</v>
      </c>
      <c r="J1605" s="6" t="s">
        <v>2586</v>
      </c>
      <c r="K1605" s="7">
        <v>43599</v>
      </c>
      <c r="L1605" s="8">
        <v>0.33333333333333331</v>
      </c>
      <c r="M1605" s="6" t="s">
        <v>2587</v>
      </c>
      <c r="N1605" s="6" t="s">
        <v>21</v>
      </c>
      <c r="O1605" s="6" t="s">
        <v>22</v>
      </c>
    </row>
    <row r="1606" spans="1:15">
      <c r="A1606" s="6" t="s">
        <v>15</v>
      </c>
      <c r="B1606" s="6" t="str">
        <f>"FES1162689564"</f>
        <v>FES1162689564</v>
      </c>
      <c r="C1606" s="7">
        <v>43598</v>
      </c>
      <c r="D1606" s="6">
        <v>1</v>
      </c>
      <c r="E1606" s="6">
        <v>2170688134</v>
      </c>
      <c r="F1606" s="6" t="s">
        <v>16</v>
      </c>
      <c r="G1606" s="6" t="s">
        <v>17</v>
      </c>
      <c r="H1606" s="6" t="s">
        <v>17</v>
      </c>
      <c r="I1606" s="6" t="s">
        <v>421</v>
      </c>
      <c r="J1606" s="6" t="s">
        <v>2588</v>
      </c>
      <c r="K1606" s="7">
        <v>43599</v>
      </c>
      <c r="L1606" s="8">
        <v>0.58124999999999993</v>
      </c>
      <c r="M1606" s="6" t="s">
        <v>2589</v>
      </c>
      <c r="N1606" s="6" t="s">
        <v>21</v>
      </c>
      <c r="O1606" s="6" t="s">
        <v>22</v>
      </c>
    </row>
    <row r="1607" spans="1:15">
      <c r="A1607" s="6" t="s">
        <v>15</v>
      </c>
      <c r="B1607" s="6" t="str">
        <f>"FES1162689451"</f>
        <v>FES1162689451</v>
      </c>
      <c r="C1607" s="7">
        <v>43598</v>
      </c>
      <c r="D1607" s="6">
        <v>1</v>
      </c>
      <c r="E1607" s="6">
        <v>2170687534</v>
      </c>
      <c r="F1607" s="6" t="s">
        <v>16</v>
      </c>
      <c r="G1607" s="6" t="s">
        <v>17</v>
      </c>
      <c r="H1607" s="6" t="s">
        <v>17</v>
      </c>
      <c r="I1607" s="6" t="s">
        <v>23</v>
      </c>
      <c r="J1607" s="6" t="s">
        <v>119</v>
      </c>
      <c r="K1607" s="7">
        <v>43599</v>
      </c>
      <c r="L1607" s="8">
        <v>0.28333333333333333</v>
      </c>
      <c r="M1607" s="6" t="s">
        <v>2590</v>
      </c>
      <c r="N1607" s="6" t="s">
        <v>21</v>
      </c>
      <c r="O1607" s="6" t="s">
        <v>22</v>
      </c>
    </row>
    <row r="1608" spans="1:15">
      <c r="A1608" s="6" t="s">
        <v>15</v>
      </c>
      <c r="B1608" s="6" t="str">
        <f>"FES1162689493"</f>
        <v>FES1162689493</v>
      </c>
      <c r="C1608" s="7">
        <v>43598</v>
      </c>
      <c r="D1608" s="6">
        <v>1</v>
      </c>
      <c r="E1608" s="6">
        <v>2170688056</v>
      </c>
      <c r="F1608" s="6" t="s">
        <v>16</v>
      </c>
      <c r="G1608" s="6" t="s">
        <v>17</v>
      </c>
      <c r="H1608" s="6" t="s">
        <v>17</v>
      </c>
      <c r="I1608" s="6" t="s">
        <v>23</v>
      </c>
      <c r="J1608" s="6" t="s">
        <v>2591</v>
      </c>
      <c r="K1608" s="7">
        <v>43599</v>
      </c>
      <c r="L1608" s="8">
        <v>0.34236111111111112</v>
      </c>
      <c r="M1608" s="6" t="s">
        <v>2592</v>
      </c>
      <c r="N1608" s="6" t="s">
        <v>21</v>
      </c>
      <c r="O1608" s="6" t="s">
        <v>22</v>
      </c>
    </row>
    <row r="1609" spans="1:15">
      <c r="A1609" s="6" t="s">
        <v>15</v>
      </c>
      <c r="B1609" s="6" t="str">
        <f>"FES1162689517"</f>
        <v>FES1162689517</v>
      </c>
      <c r="C1609" s="7">
        <v>43598</v>
      </c>
      <c r="D1609" s="6">
        <v>1</v>
      </c>
      <c r="E1609" s="6">
        <v>2170688086</v>
      </c>
      <c r="F1609" s="6" t="s">
        <v>16</v>
      </c>
      <c r="G1609" s="6" t="s">
        <v>17</v>
      </c>
      <c r="H1609" s="6" t="s">
        <v>17</v>
      </c>
      <c r="I1609" s="6" t="s">
        <v>23</v>
      </c>
      <c r="J1609" s="6" t="s">
        <v>158</v>
      </c>
      <c r="K1609" s="7">
        <v>43599</v>
      </c>
      <c r="L1609" s="8">
        <v>0.33680555555555558</v>
      </c>
      <c r="M1609" s="6" t="s">
        <v>2593</v>
      </c>
      <c r="N1609" s="6" t="s">
        <v>21</v>
      </c>
      <c r="O1609" s="6" t="s">
        <v>22</v>
      </c>
    </row>
    <row r="1610" spans="1:15">
      <c r="A1610" s="6" t="s">
        <v>15</v>
      </c>
      <c r="B1610" s="6" t="str">
        <f>"FES1162689550"</f>
        <v>FES1162689550</v>
      </c>
      <c r="C1610" s="7">
        <v>43598</v>
      </c>
      <c r="D1610" s="6">
        <v>1</v>
      </c>
      <c r="E1610" s="6">
        <v>2170688118</v>
      </c>
      <c r="F1610" s="6" t="s">
        <v>16</v>
      </c>
      <c r="G1610" s="6" t="s">
        <v>17</v>
      </c>
      <c r="H1610" s="6" t="s">
        <v>17</v>
      </c>
      <c r="I1610" s="6" t="s">
        <v>23</v>
      </c>
      <c r="J1610" s="6" t="s">
        <v>70</v>
      </c>
      <c r="K1610" s="7">
        <v>43599</v>
      </c>
      <c r="L1610" s="8">
        <v>0.32083333333333336</v>
      </c>
      <c r="M1610" s="6" t="s">
        <v>2079</v>
      </c>
      <c r="N1610" s="6" t="s">
        <v>21</v>
      </c>
      <c r="O1610" s="6" t="s">
        <v>22</v>
      </c>
    </row>
    <row r="1611" spans="1:15">
      <c r="A1611" s="6" t="s">
        <v>15</v>
      </c>
      <c r="B1611" s="6" t="str">
        <f>"FES1162689441"</f>
        <v>FES1162689441</v>
      </c>
      <c r="C1611" s="7">
        <v>43598</v>
      </c>
      <c r="D1611" s="6">
        <v>1</v>
      </c>
      <c r="E1611" s="6">
        <v>2170686858</v>
      </c>
      <c r="F1611" s="6" t="s">
        <v>16</v>
      </c>
      <c r="G1611" s="6" t="s">
        <v>17</v>
      </c>
      <c r="H1611" s="6" t="s">
        <v>17</v>
      </c>
      <c r="I1611" s="6" t="s">
        <v>23</v>
      </c>
      <c r="J1611" s="6" t="s">
        <v>70</v>
      </c>
      <c r="K1611" s="7">
        <v>43599</v>
      </c>
      <c r="L1611" s="8">
        <v>0.32083333333333336</v>
      </c>
      <c r="M1611" s="6" t="s">
        <v>2079</v>
      </c>
      <c r="N1611" s="6" t="s">
        <v>21</v>
      </c>
      <c r="O1611" s="6" t="s">
        <v>22</v>
      </c>
    </row>
    <row r="1612" spans="1:15">
      <c r="A1612" s="6" t="s">
        <v>15</v>
      </c>
      <c r="B1612" s="6" t="str">
        <f>"FES1162689397"</f>
        <v>FES1162689397</v>
      </c>
      <c r="C1612" s="7">
        <v>43598</v>
      </c>
      <c r="D1612" s="6">
        <v>1</v>
      </c>
      <c r="E1612" s="6">
        <v>2170687962</v>
      </c>
      <c r="F1612" s="6" t="s">
        <v>16</v>
      </c>
      <c r="G1612" s="6" t="s">
        <v>17</v>
      </c>
      <c r="H1612" s="6" t="s">
        <v>17</v>
      </c>
      <c r="I1612" s="6" t="s">
        <v>64</v>
      </c>
      <c r="J1612" s="6" t="s">
        <v>116</v>
      </c>
      <c r="K1612" s="7">
        <v>43599</v>
      </c>
      <c r="L1612" s="8">
        <v>0.34375</v>
      </c>
      <c r="M1612" s="6" t="s">
        <v>2594</v>
      </c>
      <c r="N1612" s="6" t="s">
        <v>21</v>
      </c>
      <c r="O1612" s="6" t="s">
        <v>22</v>
      </c>
    </row>
    <row r="1613" spans="1:15">
      <c r="A1613" s="6" t="s">
        <v>15</v>
      </c>
      <c r="B1613" s="6" t="str">
        <f>"FES1162689340"</f>
        <v>FES1162689340</v>
      </c>
      <c r="C1613" s="7">
        <v>43598</v>
      </c>
      <c r="D1613" s="6">
        <v>1</v>
      </c>
      <c r="E1613" s="6">
        <v>2170687901</v>
      </c>
      <c r="F1613" s="6" t="s">
        <v>16</v>
      </c>
      <c r="G1613" s="6" t="s">
        <v>17</v>
      </c>
      <c r="H1613" s="6" t="s">
        <v>17</v>
      </c>
      <c r="I1613" s="6" t="s">
        <v>64</v>
      </c>
      <c r="J1613" s="6" t="s">
        <v>2595</v>
      </c>
      <c r="K1613" s="7">
        <v>43599</v>
      </c>
      <c r="L1613" s="8">
        <v>0.45208333333333334</v>
      </c>
      <c r="M1613" s="6" t="s">
        <v>2596</v>
      </c>
      <c r="N1613" s="6" t="s">
        <v>21</v>
      </c>
      <c r="O1613" s="6" t="s">
        <v>22</v>
      </c>
    </row>
    <row r="1614" spans="1:15">
      <c r="A1614" s="6" t="s">
        <v>15</v>
      </c>
      <c r="B1614" s="6" t="str">
        <f>"FES1162689412"</f>
        <v>FES1162689412</v>
      </c>
      <c r="C1614" s="7">
        <v>43598</v>
      </c>
      <c r="D1614" s="6">
        <v>1</v>
      </c>
      <c r="E1614" s="6">
        <v>2170687975</v>
      </c>
      <c r="F1614" s="6" t="s">
        <v>16</v>
      </c>
      <c r="G1614" s="6" t="s">
        <v>17</v>
      </c>
      <c r="H1614" s="6" t="s">
        <v>17</v>
      </c>
      <c r="I1614" s="6" t="s">
        <v>64</v>
      </c>
      <c r="J1614" s="6" t="s">
        <v>1098</v>
      </c>
      <c r="K1614" s="7">
        <v>43599</v>
      </c>
      <c r="L1614" s="8">
        <v>0.4375</v>
      </c>
      <c r="M1614" s="6" t="s">
        <v>2597</v>
      </c>
      <c r="N1614" s="6" t="s">
        <v>21</v>
      </c>
      <c r="O1614" s="6" t="s">
        <v>22</v>
      </c>
    </row>
    <row r="1615" spans="1:15">
      <c r="A1615" s="6" t="s">
        <v>15</v>
      </c>
      <c r="B1615" s="6" t="str">
        <f>"FES1162689366"</f>
        <v>FES1162689366</v>
      </c>
      <c r="C1615" s="7">
        <v>43598</v>
      </c>
      <c r="D1615" s="6">
        <v>1</v>
      </c>
      <c r="E1615" s="6">
        <v>2170687942</v>
      </c>
      <c r="F1615" s="6" t="s">
        <v>16</v>
      </c>
      <c r="G1615" s="6" t="s">
        <v>17</v>
      </c>
      <c r="H1615" s="6" t="s">
        <v>17</v>
      </c>
      <c r="I1615" s="6" t="s">
        <v>103</v>
      </c>
      <c r="J1615" s="6" t="s">
        <v>2598</v>
      </c>
      <c r="K1615" s="7">
        <v>43599</v>
      </c>
      <c r="L1615" s="8">
        <v>0.36527777777777781</v>
      </c>
      <c r="M1615" s="6" t="s">
        <v>325</v>
      </c>
      <c r="N1615" s="6" t="s">
        <v>21</v>
      </c>
      <c r="O1615" s="6" t="s">
        <v>22</v>
      </c>
    </row>
    <row r="1616" spans="1:15">
      <c r="A1616" s="6" t="s">
        <v>15</v>
      </c>
      <c r="B1616" s="6" t="str">
        <f>"FES1162689361"</f>
        <v>FES1162689361</v>
      </c>
      <c r="C1616" s="7">
        <v>43598</v>
      </c>
      <c r="D1616" s="6">
        <v>1</v>
      </c>
      <c r="E1616" s="6">
        <v>2170687934</v>
      </c>
      <c r="F1616" s="6" t="s">
        <v>16</v>
      </c>
      <c r="G1616" s="6" t="s">
        <v>17</v>
      </c>
      <c r="H1616" s="6" t="s">
        <v>17</v>
      </c>
      <c r="I1616" s="6" t="s">
        <v>64</v>
      </c>
      <c r="J1616" s="6" t="s">
        <v>65</v>
      </c>
      <c r="K1616" s="7">
        <v>43599</v>
      </c>
      <c r="L1616" s="8">
        <v>0.375</v>
      </c>
      <c r="M1616" s="6" t="s">
        <v>481</v>
      </c>
      <c r="N1616" s="6" t="s">
        <v>21</v>
      </c>
      <c r="O1616" s="6" t="s">
        <v>22</v>
      </c>
    </row>
    <row r="1617" spans="1:15">
      <c r="A1617" s="6" t="s">
        <v>15</v>
      </c>
      <c r="B1617" s="6" t="str">
        <f>"FES1162689326"</f>
        <v>FES1162689326</v>
      </c>
      <c r="C1617" s="7">
        <v>43598</v>
      </c>
      <c r="D1617" s="6">
        <v>1</v>
      </c>
      <c r="E1617" s="6">
        <v>2170687853</v>
      </c>
      <c r="F1617" s="6" t="s">
        <v>16</v>
      </c>
      <c r="G1617" s="6" t="s">
        <v>17</v>
      </c>
      <c r="H1617" s="6" t="s">
        <v>17</v>
      </c>
      <c r="I1617" s="6" t="s">
        <v>29</v>
      </c>
      <c r="J1617" s="6" t="s">
        <v>963</v>
      </c>
      <c r="K1617" s="7">
        <v>43599</v>
      </c>
      <c r="L1617" s="8">
        <v>0.4375</v>
      </c>
      <c r="M1617" s="6" t="s">
        <v>2599</v>
      </c>
      <c r="N1617" s="6" t="s">
        <v>21</v>
      </c>
      <c r="O1617" s="6" t="s">
        <v>22</v>
      </c>
    </row>
    <row r="1618" spans="1:15">
      <c r="A1618" s="6" t="s">
        <v>15</v>
      </c>
      <c r="B1618" s="6" t="str">
        <f>"FES1162689360"</f>
        <v>FES1162689360</v>
      </c>
      <c r="C1618" s="7">
        <v>43598</v>
      </c>
      <c r="D1618" s="6">
        <v>1</v>
      </c>
      <c r="E1618" s="6">
        <v>2170687933</v>
      </c>
      <c r="F1618" s="6" t="s">
        <v>16</v>
      </c>
      <c r="G1618" s="6" t="s">
        <v>17</v>
      </c>
      <c r="H1618" s="6" t="s">
        <v>17</v>
      </c>
      <c r="I1618" s="6" t="s">
        <v>29</v>
      </c>
      <c r="J1618" s="6" t="s">
        <v>616</v>
      </c>
      <c r="K1618" s="7">
        <v>43599</v>
      </c>
      <c r="L1618" s="8">
        <v>0.4375</v>
      </c>
      <c r="M1618" s="6" t="s">
        <v>2600</v>
      </c>
      <c r="N1618" s="6" t="s">
        <v>21</v>
      </c>
      <c r="O1618" s="6" t="s">
        <v>22</v>
      </c>
    </row>
    <row r="1619" spans="1:15">
      <c r="A1619" s="6" t="s">
        <v>15</v>
      </c>
      <c r="B1619" s="6" t="str">
        <f>"FES1162689402"</f>
        <v>FES1162689402</v>
      </c>
      <c r="C1619" s="7">
        <v>43598</v>
      </c>
      <c r="D1619" s="6">
        <v>1</v>
      </c>
      <c r="E1619" s="6">
        <v>2170687968</v>
      </c>
      <c r="F1619" s="6" t="s">
        <v>16</v>
      </c>
      <c r="G1619" s="6" t="s">
        <v>17</v>
      </c>
      <c r="H1619" s="6" t="s">
        <v>17</v>
      </c>
      <c r="I1619" s="6" t="s">
        <v>67</v>
      </c>
      <c r="J1619" s="6" t="s">
        <v>2601</v>
      </c>
      <c r="K1619" s="7">
        <v>43599</v>
      </c>
      <c r="L1619" s="8">
        <v>0.39583333333333331</v>
      </c>
      <c r="M1619" s="6" t="s">
        <v>2602</v>
      </c>
      <c r="N1619" s="6" t="s">
        <v>21</v>
      </c>
      <c r="O1619" s="6" t="s">
        <v>22</v>
      </c>
    </row>
    <row r="1620" spans="1:15">
      <c r="A1620" s="6" t="s">
        <v>15</v>
      </c>
      <c r="B1620" s="6" t="str">
        <f>"FES1162689555"</f>
        <v>FES1162689555</v>
      </c>
      <c r="C1620" s="7">
        <v>43598</v>
      </c>
      <c r="D1620" s="6">
        <v>1</v>
      </c>
      <c r="E1620" s="6">
        <v>2170685982</v>
      </c>
      <c r="F1620" s="6" t="s">
        <v>16</v>
      </c>
      <c r="G1620" s="6" t="s">
        <v>17</v>
      </c>
      <c r="H1620" s="6" t="s">
        <v>17</v>
      </c>
      <c r="I1620" s="6" t="s">
        <v>148</v>
      </c>
      <c r="J1620" s="6" t="s">
        <v>153</v>
      </c>
      <c r="K1620" s="7">
        <v>43599</v>
      </c>
      <c r="L1620" s="8">
        <v>0.40972222222222227</v>
      </c>
      <c r="M1620" s="6" t="s">
        <v>712</v>
      </c>
      <c r="N1620" s="6" t="s">
        <v>21</v>
      </c>
      <c r="O1620" s="6" t="s">
        <v>22</v>
      </c>
    </row>
    <row r="1621" spans="1:15">
      <c r="A1621" s="6" t="s">
        <v>15</v>
      </c>
      <c r="B1621" s="6" t="str">
        <f>"FES1162689462"</f>
        <v>FES1162689462</v>
      </c>
      <c r="C1621" s="7">
        <v>43598</v>
      </c>
      <c r="D1621" s="6">
        <v>2</v>
      </c>
      <c r="E1621" s="6">
        <v>2170688016</v>
      </c>
      <c r="F1621" s="6" t="s">
        <v>16</v>
      </c>
      <c r="G1621" s="6" t="s">
        <v>17</v>
      </c>
      <c r="H1621" s="6" t="s">
        <v>17</v>
      </c>
      <c r="I1621" s="6" t="s">
        <v>701</v>
      </c>
      <c r="J1621" s="6" t="s">
        <v>2603</v>
      </c>
      <c r="K1621" s="7">
        <v>43600</v>
      </c>
      <c r="L1621" s="8">
        <v>0.43055555555555558</v>
      </c>
      <c r="M1621" s="6" t="s">
        <v>2604</v>
      </c>
      <c r="N1621" s="6" t="s">
        <v>21</v>
      </c>
      <c r="O1621" s="6" t="s">
        <v>22</v>
      </c>
    </row>
    <row r="1622" spans="1:15">
      <c r="A1622" s="6" t="s">
        <v>15</v>
      </c>
      <c r="B1622" s="6" t="str">
        <f>"FES1162689480"</f>
        <v>FES1162689480</v>
      </c>
      <c r="C1622" s="7">
        <v>43598</v>
      </c>
      <c r="D1622" s="6">
        <v>1</v>
      </c>
      <c r="E1622" s="6">
        <v>2170688040</v>
      </c>
      <c r="F1622" s="6" t="s">
        <v>16</v>
      </c>
      <c r="G1622" s="6" t="s">
        <v>17</v>
      </c>
      <c r="H1622" s="6" t="s">
        <v>17</v>
      </c>
      <c r="I1622" s="6" t="s">
        <v>1984</v>
      </c>
      <c r="J1622" s="6" t="s">
        <v>2605</v>
      </c>
      <c r="K1622" s="7">
        <v>43599</v>
      </c>
      <c r="L1622" s="8">
        <v>0.36944444444444446</v>
      </c>
      <c r="M1622" s="6" t="s">
        <v>2606</v>
      </c>
      <c r="N1622" s="6" t="s">
        <v>21</v>
      </c>
      <c r="O1622" s="6" t="s">
        <v>22</v>
      </c>
    </row>
    <row r="1623" spans="1:15" hidden="1">
      <c r="A1623" t="s">
        <v>15</v>
      </c>
      <c r="B1623" t="str">
        <f>"FES1162688974"</f>
        <v>FES1162688974</v>
      </c>
      <c r="C1623" s="9">
        <v>43598</v>
      </c>
      <c r="D1623">
        <v>2</v>
      </c>
      <c r="E1623">
        <v>2170687559</v>
      </c>
      <c r="F1623" t="s">
        <v>58</v>
      </c>
      <c r="G1623" t="s">
        <v>59</v>
      </c>
      <c r="H1623" t="s">
        <v>59</v>
      </c>
      <c r="I1623" t="s">
        <v>1984</v>
      </c>
      <c r="J1623" t="s">
        <v>2605</v>
      </c>
      <c r="K1623" s="9">
        <v>43599</v>
      </c>
      <c r="L1623" s="10">
        <v>0.36944444444444446</v>
      </c>
      <c r="M1623" t="s">
        <v>2606</v>
      </c>
      <c r="N1623" t="s">
        <v>2607</v>
      </c>
      <c r="O1623" t="s">
        <v>22</v>
      </c>
    </row>
    <row r="1624" spans="1:15">
      <c r="A1624" s="6" t="s">
        <v>15</v>
      </c>
      <c r="B1624" s="6" t="str">
        <f>"FES1162689356"</f>
        <v>FES1162689356</v>
      </c>
      <c r="C1624" s="7">
        <v>43598</v>
      </c>
      <c r="D1624" s="6">
        <v>1</v>
      </c>
      <c r="E1624" s="6">
        <v>2170687928</v>
      </c>
      <c r="F1624" s="6" t="s">
        <v>16</v>
      </c>
      <c r="G1624" s="6" t="s">
        <v>17</v>
      </c>
      <c r="H1624" s="6" t="s">
        <v>17</v>
      </c>
      <c r="I1624" s="6" t="s">
        <v>64</v>
      </c>
      <c r="J1624" s="6" t="s">
        <v>155</v>
      </c>
      <c r="K1624" s="7">
        <v>43599</v>
      </c>
      <c r="L1624" s="8">
        <v>0.45277777777777778</v>
      </c>
      <c r="M1624" s="6" t="s">
        <v>2608</v>
      </c>
      <c r="N1624" s="6" t="s">
        <v>21</v>
      </c>
      <c r="O1624" s="6" t="s">
        <v>22</v>
      </c>
    </row>
    <row r="1625" spans="1:15">
      <c r="A1625" s="6" t="s">
        <v>15</v>
      </c>
      <c r="B1625" s="6" t="str">
        <f>"FES1162689465"</f>
        <v>FES1162689465</v>
      </c>
      <c r="C1625" s="7">
        <v>43598</v>
      </c>
      <c r="D1625" s="6">
        <v>1</v>
      </c>
      <c r="E1625" s="6">
        <v>2170688021</v>
      </c>
      <c r="F1625" s="6" t="s">
        <v>16</v>
      </c>
      <c r="G1625" s="6" t="s">
        <v>17</v>
      </c>
      <c r="H1625" s="6" t="s">
        <v>17</v>
      </c>
      <c r="I1625" s="6" t="s">
        <v>1984</v>
      </c>
      <c r="J1625" s="6" t="s">
        <v>2605</v>
      </c>
      <c r="K1625" s="7">
        <v>43599</v>
      </c>
      <c r="L1625" s="8">
        <v>0.36944444444444446</v>
      </c>
      <c r="M1625" s="6" t="s">
        <v>2606</v>
      </c>
      <c r="N1625" s="6" t="s">
        <v>21</v>
      </c>
      <c r="O1625" s="6" t="s">
        <v>22</v>
      </c>
    </row>
    <row r="1626" spans="1:15">
      <c r="A1626" s="6" t="s">
        <v>15</v>
      </c>
      <c r="B1626" s="6" t="str">
        <f>"FES1162689479"</f>
        <v>FES1162689479</v>
      </c>
      <c r="C1626" s="7">
        <v>43598</v>
      </c>
      <c r="D1626" s="6">
        <v>1</v>
      </c>
      <c r="E1626" s="6">
        <v>2170688039</v>
      </c>
      <c r="F1626" s="6" t="s">
        <v>16</v>
      </c>
      <c r="G1626" s="6" t="s">
        <v>17</v>
      </c>
      <c r="H1626" s="6" t="s">
        <v>17</v>
      </c>
      <c r="I1626" s="6" t="s">
        <v>1984</v>
      </c>
      <c r="J1626" s="6" t="s">
        <v>2605</v>
      </c>
      <c r="K1626" s="7">
        <v>43599</v>
      </c>
      <c r="L1626" s="8">
        <v>0.36944444444444446</v>
      </c>
      <c r="M1626" s="6" t="s">
        <v>2606</v>
      </c>
      <c r="N1626" s="6" t="s">
        <v>21</v>
      </c>
      <c r="O1626" s="6" t="s">
        <v>22</v>
      </c>
    </row>
    <row r="1627" spans="1:15">
      <c r="A1627" s="6" t="s">
        <v>15</v>
      </c>
      <c r="B1627" s="6" t="str">
        <f>"FES1162689464"</f>
        <v>FES1162689464</v>
      </c>
      <c r="C1627" s="7">
        <v>43598</v>
      </c>
      <c r="D1627" s="6">
        <v>1</v>
      </c>
      <c r="E1627" s="6">
        <v>2170688019</v>
      </c>
      <c r="F1627" s="6" t="s">
        <v>16</v>
      </c>
      <c r="G1627" s="6" t="s">
        <v>17</v>
      </c>
      <c r="H1627" s="6" t="s">
        <v>17</v>
      </c>
      <c r="I1627" s="6" t="s">
        <v>1984</v>
      </c>
      <c r="J1627" s="6" t="s">
        <v>2605</v>
      </c>
      <c r="K1627" s="7">
        <v>43599</v>
      </c>
      <c r="L1627" s="8">
        <v>0.43055555555555558</v>
      </c>
      <c r="M1627" s="6" t="s">
        <v>2609</v>
      </c>
      <c r="N1627" s="6" t="s">
        <v>21</v>
      </c>
      <c r="O1627" s="6" t="s">
        <v>22</v>
      </c>
    </row>
    <row r="1628" spans="1:15">
      <c r="A1628" s="6" t="s">
        <v>15</v>
      </c>
      <c r="B1628" s="6" t="str">
        <f>"FES1162689319"</f>
        <v>FES1162689319</v>
      </c>
      <c r="C1628" s="7">
        <v>43598</v>
      </c>
      <c r="D1628" s="6">
        <v>1</v>
      </c>
      <c r="E1628" s="6">
        <v>2170686981</v>
      </c>
      <c r="F1628" s="6" t="s">
        <v>16</v>
      </c>
      <c r="G1628" s="6" t="s">
        <v>17</v>
      </c>
      <c r="H1628" s="6" t="s">
        <v>17</v>
      </c>
      <c r="I1628" s="6" t="s">
        <v>64</v>
      </c>
      <c r="J1628" s="6" t="s">
        <v>552</v>
      </c>
      <c r="K1628" s="7">
        <v>43599</v>
      </c>
      <c r="L1628" s="8">
        <v>0.43055555555555558</v>
      </c>
      <c r="M1628" s="6" t="s">
        <v>2610</v>
      </c>
      <c r="N1628" s="6" t="s">
        <v>21</v>
      </c>
      <c r="O1628" s="6" t="s">
        <v>22</v>
      </c>
    </row>
    <row r="1629" spans="1:15" ht="15.75" thickBot="1">
      <c r="A1629" s="11" t="s">
        <v>15</v>
      </c>
      <c r="B1629" s="11" t="str">
        <f>"FES1162689342"</f>
        <v>FES1162689342</v>
      </c>
      <c r="C1629" s="12">
        <v>43598</v>
      </c>
      <c r="D1629" s="11">
        <v>1</v>
      </c>
      <c r="E1629" s="11">
        <v>2170687904</v>
      </c>
      <c r="F1629" s="11" t="s">
        <v>16</v>
      </c>
      <c r="G1629" s="11" t="s">
        <v>17</v>
      </c>
      <c r="H1629" s="11" t="s">
        <v>17</v>
      </c>
      <c r="I1629" s="11" t="s">
        <v>103</v>
      </c>
      <c r="J1629" s="11" t="s">
        <v>108</v>
      </c>
      <c r="K1629" s="12">
        <v>43599</v>
      </c>
      <c r="L1629" s="13">
        <v>0.43055555555555558</v>
      </c>
      <c r="M1629" s="11" t="s">
        <v>481</v>
      </c>
      <c r="N1629" s="11" t="s">
        <v>21</v>
      </c>
      <c r="O1629" s="11" t="s">
        <v>22</v>
      </c>
    </row>
    <row r="1630" spans="1:15" hidden="1">
      <c r="A1630" t="s">
        <v>15</v>
      </c>
      <c r="B1630" t="str">
        <f>"FES1162689395"</f>
        <v>FES1162689395</v>
      </c>
      <c r="C1630" s="9">
        <v>43598</v>
      </c>
      <c r="D1630">
        <v>1</v>
      </c>
      <c r="E1630">
        <v>2170689395</v>
      </c>
      <c r="F1630" t="s">
        <v>16</v>
      </c>
      <c r="G1630" t="s">
        <v>17</v>
      </c>
      <c r="H1630" t="s">
        <v>2611</v>
      </c>
      <c r="I1630" t="s">
        <v>2612</v>
      </c>
      <c r="J1630" t="s">
        <v>2613</v>
      </c>
      <c r="K1630" s="9">
        <v>43599</v>
      </c>
      <c r="L1630" s="10">
        <v>0.43472222222222223</v>
      </c>
      <c r="M1630" t="s">
        <v>2614</v>
      </c>
      <c r="N1630" t="s">
        <v>2615</v>
      </c>
      <c r="O1630" t="s">
        <v>22</v>
      </c>
    </row>
    <row r="1631" spans="1:15">
      <c r="A1631" s="6" t="s">
        <v>15</v>
      </c>
      <c r="B1631" s="6" t="str">
        <f>"FES1162689534"</f>
        <v>FES1162689534</v>
      </c>
      <c r="C1631" s="7">
        <v>43598</v>
      </c>
      <c r="D1631" s="6">
        <v>1</v>
      </c>
      <c r="E1631" s="6">
        <v>2170688100</v>
      </c>
      <c r="F1631" s="6" t="s">
        <v>16</v>
      </c>
      <c r="G1631" s="6" t="s">
        <v>17</v>
      </c>
      <c r="H1631" s="6" t="s">
        <v>17</v>
      </c>
      <c r="I1631" s="6" t="s">
        <v>421</v>
      </c>
      <c r="J1631" s="6" t="s">
        <v>2616</v>
      </c>
      <c r="K1631" s="7">
        <v>43600</v>
      </c>
      <c r="L1631" s="8">
        <v>0.33333333333333331</v>
      </c>
      <c r="M1631" s="6" t="s">
        <v>2617</v>
      </c>
      <c r="N1631" s="6" t="s">
        <v>21</v>
      </c>
      <c r="O1631" s="6" t="s">
        <v>22</v>
      </c>
    </row>
    <row r="1632" spans="1:15">
      <c r="A1632" s="6" t="s">
        <v>15</v>
      </c>
      <c r="B1632" s="6" t="str">
        <f>"RFES1162689211"</f>
        <v>RFES1162689211</v>
      </c>
      <c r="C1632" s="7">
        <v>43599</v>
      </c>
      <c r="D1632" s="6">
        <v>1</v>
      </c>
      <c r="E1632" s="6">
        <v>2170687696</v>
      </c>
      <c r="F1632" s="6" t="s">
        <v>16</v>
      </c>
      <c r="G1632" s="6" t="s">
        <v>17</v>
      </c>
      <c r="H1632" s="6" t="s">
        <v>17</v>
      </c>
      <c r="I1632" s="6" t="s">
        <v>64</v>
      </c>
      <c r="J1632" s="6" t="s">
        <v>476</v>
      </c>
      <c r="K1632" s="7">
        <v>43599</v>
      </c>
      <c r="L1632" s="8">
        <v>0.39652777777777781</v>
      </c>
      <c r="M1632" s="6" t="s">
        <v>2618</v>
      </c>
      <c r="N1632" s="6" t="s">
        <v>21</v>
      </c>
      <c r="O1632" s="6" t="s">
        <v>22</v>
      </c>
    </row>
    <row r="1633" spans="1:15">
      <c r="A1633" s="6" t="s">
        <v>15</v>
      </c>
      <c r="B1633" s="6" t="str">
        <f>"080002299662"</f>
        <v>080002299662</v>
      </c>
      <c r="C1633" s="7">
        <v>43599</v>
      </c>
      <c r="D1633" s="6">
        <v>1</v>
      </c>
      <c r="E1633" s="6" t="s">
        <v>1060</v>
      </c>
      <c r="F1633" s="6" t="s">
        <v>16</v>
      </c>
      <c r="G1633" s="6" t="s">
        <v>43</v>
      </c>
      <c r="H1633" s="6" t="s">
        <v>17</v>
      </c>
      <c r="I1633" s="6" t="s">
        <v>64</v>
      </c>
      <c r="J1633" s="6" t="s">
        <v>1061</v>
      </c>
      <c r="K1633" s="7">
        <v>43600</v>
      </c>
      <c r="L1633" s="8">
        <v>0.38958333333333334</v>
      </c>
      <c r="M1633" s="6" t="s">
        <v>477</v>
      </c>
      <c r="N1633" s="6" t="s">
        <v>21</v>
      </c>
      <c r="O1633" s="6" t="s">
        <v>22</v>
      </c>
    </row>
    <row r="1634" spans="1:15" hidden="1">
      <c r="A1634" t="s">
        <v>15</v>
      </c>
      <c r="B1634" t="str">
        <f>"FES1162689541"</f>
        <v>FES1162689541</v>
      </c>
      <c r="C1634" s="9">
        <v>43599</v>
      </c>
      <c r="D1634">
        <v>1</v>
      </c>
      <c r="E1634">
        <v>2170688109</v>
      </c>
      <c r="F1634" t="s">
        <v>16</v>
      </c>
      <c r="G1634" t="s">
        <v>17</v>
      </c>
      <c r="H1634" t="s">
        <v>290</v>
      </c>
      <c r="I1634" t="s">
        <v>291</v>
      </c>
      <c r="J1634" t="s">
        <v>1744</v>
      </c>
      <c r="K1634" s="9">
        <v>43600</v>
      </c>
      <c r="L1634" s="10">
        <v>0.34027777777777773</v>
      </c>
      <c r="M1634" t="s">
        <v>2556</v>
      </c>
      <c r="N1634" t="s">
        <v>2619</v>
      </c>
      <c r="O1634" t="s">
        <v>22</v>
      </c>
    </row>
    <row r="1635" spans="1:15" hidden="1">
      <c r="A1635" t="s">
        <v>15</v>
      </c>
      <c r="B1635" t="str">
        <f>"FES1162689707"</f>
        <v>FES1162689707</v>
      </c>
      <c r="C1635" s="9">
        <v>43599</v>
      </c>
      <c r="D1635">
        <v>1</v>
      </c>
      <c r="E1635">
        <v>2170686640</v>
      </c>
      <c r="F1635" t="s">
        <v>16</v>
      </c>
      <c r="G1635" t="s">
        <v>17</v>
      </c>
      <c r="H1635" t="s">
        <v>43</v>
      </c>
      <c r="I1635" t="s">
        <v>44</v>
      </c>
      <c r="J1635" t="s">
        <v>751</v>
      </c>
      <c r="K1635" s="9">
        <v>43601</v>
      </c>
      <c r="L1635" s="10">
        <v>0.3125</v>
      </c>
      <c r="M1635" t="s">
        <v>2620</v>
      </c>
      <c r="N1635" t="s">
        <v>2621</v>
      </c>
      <c r="O1635" t="s">
        <v>22</v>
      </c>
    </row>
    <row r="1636" spans="1:15" hidden="1">
      <c r="A1636" t="s">
        <v>15</v>
      </c>
      <c r="B1636" t="str">
        <f>"FES1162689688"</f>
        <v>FES1162689688</v>
      </c>
      <c r="C1636" s="9">
        <v>43599</v>
      </c>
      <c r="D1636">
        <v>1</v>
      </c>
      <c r="E1636">
        <v>2170686503</v>
      </c>
      <c r="F1636" t="s">
        <v>16</v>
      </c>
      <c r="G1636" t="s">
        <v>17</v>
      </c>
      <c r="H1636" t="s">
        <v>43</v>
      </c>
      <c r="I1636" t="s">
        <v>44</v>
      </c>
      <c r="J1636" t="s">
        <v>179</v>
      </c>
      <c r="K1636" s="9">
        <v>43601</v>
      </c>
      <c r="L1636" s="10">
        <v>0.41944444444444445</v>
      </c>
      <c r="M1636" t="s">
        <v>180</v>
      </c>
      <c r="N1636" t="s">
        <v>2622</v>
      </c>
      <c r="O1636" t="s">
        <v>22</v>
      </c>
    </row>
    <row r="1637" spans="1:15" hidden="1">
      <c r="A1637" t="s">
        <v>15</v>
      </c>
      <c r="B1637" t="str">
        <f>"FES1162689720"</f>
        <v>FES1162689720</v>
      </c>
      <c r="C1637" s="9">
        <v>43599</v>
      </c>
      <c r="D1637">
        <v>1</v>
      </c>
      <c r="E1637">
        <v>2170686907</v>
      </c>
      <c r="F1637" t="s">
        <v>16</v>
      </c>
      <c r="G1637" t="s">
        <v>17</v>
      </c>
      <c r="H1637" t="s">
        <v>43</v>
      </c>
      <c r="I1637" t="s">
        <v>54</v>
      </c>
      <c r="J1637" t="s">
        <v>216</v>
      </c>
      <c r="K1637" s="9">
        <v>43600</v>
      </c>
      <c r="L1637" s="10">
        <v>0.41666666666666669</v>
      </c>
      <c r="M1637" t="s">
        <v>646</v>
      </c>
      <c r="N1637" t="s">
        <v>2623</v>
      </c>
      <c r="O1637" t="s">
        <v>22</v>
      </c>
    </row>
    <row r="1638" spans="1:15" hidden="1">
      <c r="A1638" t="s">
        <v>15</v>
      </c>
      <c r="B1638" t="str">
        <f>"FES1162689717"</f>
        <v>FES1162689717</v>
      </c>
      <c r="C1638" s="9">
        <v>43599</v>
      </c>
      <c r="D1638">
        <v>1</v>
      </c>
      <c r="E1638">
        <v>2170686764</v>
      </c>
      <c r="F1638" t="s">
        <v>16</v>
      </c>
      <c r="G1638" t="s">
        <v>17</v>
      </c>
      <c r="H1638" t="s">
        <v>43</v>
      </c>
      <c r="I1638" t="s">
        <v>44</v>
      </c>
      <c r="J1638" t="s">
        <v>45</v>
      </c>
      <c r="K1638" s="9">
        <v>43600</v>
      </c>
      <c r="L1638" s="10">
        <v>0.33055555555555555</v>
      </c>
      <c r="M1638" t="s">
        <v>2624</v>
      </c>
      <c r="N1638" t="s">
        <v>2625</v>
      </c>
      <c r="O1638" t="s">
        <v>22</v>
      </c>
    </row>
    <row r="1639" spans="1:15">
      <c r="A1639" s="6" t="s">
        <v>15</v>
      </c>
      <c r="B1639" s="6" t="str">
        <f>"FES1162689616"</f>
        <v>FES1162689616</v>
      </c>
      <c r="C1639" s="7">
        <v>43599</v>
      </c>
      <c r="D1639" s="6">
        <v>1</v>
      </c>
      <c r="E1639" s="6">
        <v>2170688156</v>
      </c>
      <c r="F1639" s="6" t="s">
        <v>16</v>
      </c>
      <c r="G1639" s="6" t="s">
        <v>17</v>
      </c>
      <c r="H1639" s="6" t="s">
        <v>17</v>
      </c>
      <c r="I1639" s="6" t="s">
        <v>64</v>
      </c>
      <c r="J1639" s="6" t="s">
        <v>553</v>
      </c>
      <c r="K1639" s="7">
        <v>43600</v>
      </c>
      <c r="L1639" s="8">
        <v>0.33611111111111108</v>
      </c>
      <c r="M1639" s="6" t="s">
        <v>2626</v>
      </c>
      <c r="N1639" s="6" t="s">
        <v>21</v>
      </c>
      <c r="O1639" s="6" t="s">
        <v>22</v>
      </c>
    </row>
    <row r="1640" spans="1:15" hidden="1">
      <c r="A1640" t="s">
        <v>15</v>
      </c>
      <c r="B1640" t="str">
        <f>"FES1162689732"</f>
        <v>FES1162689732</v>
      </c>
      <c r="C1640" s="9">
        <v>43599</v>
      </c>
      <c r="D1640">
        <v>1</v>
      </c>
      <c r="E1640">
        <v>2170688212</v>
      </c>
      <c r="F1640" t="s">
        <v>16</v>
      </c>
      <c r="G1640" t="s">
        <v>17</v>
      </c>
      <c r="H1640" t="s">
        <v>43</v>
      </c>
      <c r="I1640" t="s">
        <v>44</v>
      </c>
      <c r="J1640" t="s">
        <v>353</v>
      </c>
      <c r="K1640" s="9">
        <v>43601</v>
      </c>
      <c r="L1640" s="10">
        <v>0.3756944444444445</v>
      </c>
      <c r="M1640" t="s">
        <v>2627</v>
      </c>
      <c r="N1640" t="s">
        <v>2628</v>
      </c>
      <c r="O1640" t="s">
        <v>22</v>
      </c>
    </row>
    <row r="1641" spans="1:15">
      <c r="A1641" s="6" t="s">
        <v>15</v>
      </c>
      <c r="B1641" s="6" t="str">
        <f>"FES1162689585"</f>
        <v>FES1162689585</v>
      </c>
      <c r="C1641" s="7">
        <v>43599</v>
      </c>
      <c r="D1641" s="6">
        <v>1</v>
      </c>
      <c r="E1641" s="6">
        <v>2170687238</v>
      </c>
      <c r="F1641" s="6" t="s">
        <v>16</v>
      </c>
      <c r="G1641" s="6" t="s">
        <v>17</v>
      </c>
      <c r="H1641" s="6" t="s">
        <v>17</v>
      </c>
      <c r="I1641" s="6" t="s">
        <v>935</v>
      </c>
      <c r="J1641" s="6" t="s">
        <v>936</v>
      </c>
      <c r="K1641" s="7">
        <v>43600</v>
      </c>
      <c r="L1641" s="8">
        <v>0.43055555555555558</v>
      </c>
      <c r="M1641" s="6" t="s">
        <v>2629</v>
      </c>
      <c r="N1641" s="6" t="s">
        <v>21</v>
      </c>
      <c r="O1641" s="6" t="s">
        <v>22</v>
      </c>
    </row>
    <row r="1642" spans="1:15" hidden="1">
      <c r="A1642" t="s">
        <v>15</v>
      </c>
      <c r="B1642" t="str">
        <f>"FES1162689594"</f>
        <v>FES1162689594</v>
      </c>
      <c r="C1642" s="9">
        <v>43599</v>
      </c>
      <c r="D1642">
        <v>1</v>
      </c>
      <c r="E1642">
        <v>2170687879</v>
      </c>
      <c r="F1642" t="s">
        <v>16</v>
      </c>
      <c r="G1642" t="s">
        <v>17</v>
      </c>
      <c r="H1642" t="s">
        <v>32</v>
      </c>
      <c r="I1642" t="s">
        <v>33</v>
      </c>
      <c r="J1642" t="s">
        <v>1125</v>
      </c>
      <c r="K1642" s="9">
        <v>43600</v>
      </c>
      <c r="L1642" s="10">
        <v>0.35972222222222222</v>
      </c>
      <c r="M1642" t="s">
        <v>2630</v>
      </c>
      <c r="N1642" t="s">
        <v>2631</v>
      </c>
      <c r="O1642" t="s">
        <v>22</v>
      </c>
    </row>
    <row r="1643" spans="1:15" hidden="1">
      <c r="A1643" t="s">
        <v>15</v>
      </c>
      <c r="B1643" t="str">
        <f>"FES1162689693"</f>
        <v>FES1162689693</v>
      </c>
      <c r="C1643" s="9">
        <v>43599</v>
      </c>
      <c r="D1643">
        <v>1</v>
      </c>
      <c r="E1643">
        <v>2170686528</v>
      </c>
      <c r="F1643" t="s">
        <v>16</v>
      </c>
      <c r="G1643" t="s">
        <v>17</v>
      </c>
      <c r="H1643" t="s">
        <v>37</v>
      </c>
      <c r="I1643" t="s">
        <v>38</v>
      </c>
      <c r="J1643" t="s">
        <v>349</v>
      </c>
      <c r="K1643" s="9">
        <v>43600</v>
      </c>
      <c r="L1643" s="10">
        <v>0.39583333333333331</v>
      </c>
      <c r="M1643" t="s">
        <v>2632</v>
      </c>
      <c r="N1643" t="s">
        <v>2633</v>
      </c>
      <c r="O1643" t="s">
        <v>22</v>
      </c>
    </row>
    <row r="1644" spans="1:15" hidden="1">
      <c r="A1644" t="s">
        <v>15</v>
      </c>
      <c r="B1644" t="str">
        <f>"FES1162689674"</f>
        <v>FES1162689674</v>
      </c>
      <c r="C1644" s="9">
        <v>43599</v>
      </c>
      <c r="D1644">
        <v>1</v>
      </c>
      <c r="E1644">
        <v>21706865344</v>
      </c>
      <c r="F1644" t="s">
        <v>16</v>
      </c>
      <c r="G1644" t="s">
        <v>17</v>
      </c>
      <c r="H1644" t="s">
        <v>32</v>
      </c>
      <c r="I1644" t="s">
        <v>269</v>
      </c>
      <c r="J1644" t="s">
        <v>1346</v>
      </c>
      <c r="K1644" s="9">
        <v>43600</v>
      </c>
      <c r="L1644" s="10">
        <v>0.34027777777777773</v>
      </c>
      <c r="M1644" t="s">
        <v>2634</v>
      </c>
      <c r="N1644" t="s">
        <v>2635</v>
      </c>
      <c r="O1644" t="s">
        <v>22</v>
      </c>
    </row>
    <row r="1645" spans="1:15" hidden="1">
      <c r="A1645" t="s">
        <v>15</v>
      </c>
      <c r="B1645" t="str">
        <f>"FES1162689644"</f>
        <v>FES1162689644</v>
      </c>
      <c r="C1645" s="9">
        <v>43599</v>
      </c>
      <c r="D1645">
        <v>1</v>
      </c>
      <c r="E1645">
        <v>2170686260</v>
      </c>
      <c r="F1645" t="s">
        <v>16</v>
      </c>
      <c r="G1645" t="s">
        <v>17</v>
      </c>
      <c r="H1645" t="s">
        <v>32</v>
      </c>
      <c r="I1645" t="s">
        <v>33</v>
      </c>
      <c r="J1645" t="s">
        <v>360</v>
      </c>
      <c r="K1645" s="9">
        <v>43600</v>
      </c>
      <c r="L1645" s="10">
        <v>0.36944444444444446</v>
      </c>
      <c r="M1645" t="s">
        <v>686</v>
      </c>
      <c r="N1645" t="s">
        <v>2636</v>
      </c>
      <c r="O1645" t="s">
        <v>22</v>
      </c>
    </row>
    <row r="1646" spans="1:15" hidden="1">
      <c r="A1646" t="s">
        <v>15</v>
      </c>
      <c r="B1646" t="str">
        <f>"FES1162689601"</f>
        <v>FES1162689601</v>
      </c>
      <c r="C1646" s="9">
        <v>43599</v>
      </c>
      <c r="D1646">
        <v>1</v>
      </c>
      <c r="E1646">
        <v>2170688011</v>
      </c>
      <c r="F1646" t="s">
        <v>16</v>
      </c>
      <c r="G1646" t="s">
        <v>17</v>
      </c>
      <c r="H1646" t="s">
        <v>37</v>
      </c>
      <c r="I1646" t="s">
        <v>38</v>
      </c>
      <c r="J1646" t="s">
        <v>535</v>
      </c>
      <c r="K1646" s="9">
        <v>43600</v>
      </c>
      <c r="L1646" s="10">
        <v>0.36249999999999999</v>
      </c>
      <c r="M1646" t="s">
        <v>2637</v>
      </c>
      <c r="N1646" t="s">
        <v>2638</v>
      </c>
      <c r="O1646" t="s">
        <v>22</v>
      </c>
    </row>
    <row r="1647" spans="1:15">
      <c r="A1647" s="6" t="s">
        <v>15</v>
      </c>
      <c r="B1647" s="6" t="str">
        <f>"FES1162689729"</f>
        <v>FES1162689729</v>
      </c>
      <c r="C1647" s="7">
        <v>43599</v>
      </c>
      <c r="D1647" s="6">
        <v>1</v>
      </c>
      <c r="E1647" s="6">
        <v>2170688207</v>
      </c>
      <c r="F1647" s="6" t="s">
        <v>16</v>
      </c>
      <c r="G1647" s="6" t="s">
        <v>17</v>
      </c>
      <c r="H1647" s="6" t="s">
        <v>17</v>
      </c>
      <c r="I1647" s="6" t="s">
        <v>18</v>
      </c>
      <c r="J1647" s="6" t="s">
        <v>19</v>
      </c>
      <c r="K1647" s="7">
        <v>43600</v>
      </c>
      <c r="L1647" s="8">
        <v>0.41666666666666669</v>
      </c>
      <c r="M1647" s="6" t="s">
        <v>1327</v>
      </c>
      <c r="N1647" s="6" t="s">
        <v>21</v>
      </c>
      <c r="O1647" s="6" t="s">
        <v>22</v>
      </c>
    </row>
    <row r="1648" spans="1:15" hidden="1">
      <c r="A1648" t="s">
        <v>15</v>
      </c>
      <c r="B1648" t="str">
        <f>"FES1162689727"</f>
        <v>FES1162689727</v>
      </c>
      <c r="C1648" s="9">
        <v>43599</v>
      </c>
      <c r="D1648">
        <v>1</v>
      </c>
      <c r="E1648">
        <v>2170687770</v>
      </c>
      <c r="F1648" t="s">
        <v>16</v>
      </c>
      <c r="G1648" t="s">
        <v>17</v>
      </c>
      <c r="H1648" t="s">
        <v>32</v>
      </c>
      <c r="I1648" t="s">
        <v>269</v>
      </c>
      <c r="J1648" t="s">
        <v>609</v>
      </c>
      <c r="K1648" s="9">
        <v>43600</v>
      </c>
      <c r="L1648" s="10">
        <v>0.33333333333333331</v>
      </c>
      <c r="M1648" t="s">
        <v>757</v>
      </c>
      <c r="N1648" t="s">
        <v>2639</v>
      </c>
      <c r="O1648" t="s">
        <v>22</v>
      </c>
    </row>
    <row r="1649" spans="1:15" hidden="1">
      <c r="A1649" t="s">
        <v>15</v>
      </c>
      <c r="B1649" t="str">
        <f>"FES1162689725"</f>
        <v>FES1162689725</v>
      </c>
      <c r="C1649" s="9">
        <v>43599</v>
      </c>
      <c r="D1649">
        <v>1</v>
      </c>
      <c r="E1649">
        <v>2170687319</v>
      </c>
      <c r="F1649" t="s">
        <v>16</v>
      </c>
      <c r="G1649" t="s">
        <v>17</v>
      </c>
      <c r="H1649" t="s">
        <v>32</v>
      </c>
      <c r="I1649" t="s">
        <v>33</v>
      </c>
      <c r="J1649" t="s">
        <v>1438</v>
      </c>
      <c r="K1649" s="9">
        <v>43600</v>
      </c>
      <c r="L1649" s="10">
        <v>0.42569444444444443</v>
      </c>
      <c r="M1649" t="s">
        <v>2640</v>
      </c>
      <c r="N1649" t="s">
        <v>2641</v>
      </c>
      <c r="O1649" t="s">
        <v>22</v>
      </c>
    </row>
    <row r="1650" spans="1:15" hidden="1">
      <c r="A1650" t="s">
        <v>15</v>
      </c>
      <c r="B1650" t="str">
        <f>"FES1162689699"</f>
        <v>FES1162689699</v>
      </c>
      <c r="C1650" s="9">
        <v>43599</v>
      </c>
      <c r="D1650">
        <v>1</v>
      </c>
      <c r="E1650">
        <v>2170686571</v>
      </c>
      <c r="F1650" t="s">
        <v>16</v>
      </c>
      <c r="G1650" t="s">
        <v>17</v>
      </c>
      <c r="H1650" t="s">
        <v>32</v>
      </c>
      <c r="I1650" t="s">
        <v>33</v>
      </c>
      <c r="J1650" t="s">
        <v>546</v>
      </c>
      <c r="K1650" s="9">
        <v>43600</v>
      </c>
      <c r="L1650" s="10">
        <v>0.41319444444444442</v>
      </c>
      <c r="M1650" t="s">
        <v>2642</v>
      </c>
      <c r="N1650" t="s">
        <v>2643</v>
      </c>
      <c r="O1650" t="s">
        <v>22</v>
      </c>
    </row>
    <row r="1651" spans="1:15">
      <c r="A1651" s="6" t="s">
        <v>15</v>
      </c>
      <c r="B1651" s="6" t="str">
        <f>"FES1162689726"</f>
        <v>FES1162689726</v>
      </c>
      <c r="C1651" s="7">
        <v>43599</v>
      </c>
      <c r="D1651" s="6">
        <v>1</v>
      </c>
      <c r="E1651" s="6">
        <v>2170687386</v>
      </c>
      <c r="F1651" s="6" t="s">
        <v>16</v>
      </c>
      <c r="G1651" s="6" t="s">
        <v>17</v>
      </c>
      <c r="H1651" s="6" t="s">
        <v>17</v>
      </c>
      <c r="I1651" s="6" t="s">
        <v>67</v>
      </c>
      <c r="J1651" s="6" t="s">
        <v>1640</v>
      </c>
      <c r="K1651" s="7">
        <v>43600</v>
      </c>
      <c r="L1651" s="8">
        <v>0.47430555555555554</v>
      </c>
      <c r="M1651" s="6" t="s">
        <v>1641</v>
      </c>
      <c r="N1651" s="6" t="s">
        <v>21</v>
      </c>
      <c r="O1651" s="6" t="s">
        <v>22</v>
      </c>
    </row>
    <row r="1652" spans="1:15">
      <c r="A1652" s="6" t="s">
        <v>15</v>
      </c>
      <c r="B1652" s="6" t="str">
        <f>"FES1162689617"</f>
        <v>FES1162689617</v>
      </c>
      <c r="C1652" s="7">
        <v>43599</v>
      </c>
      <c r="D1652" s="6">
        <v>1</v>
      </c>
      <c r="E1652" s="6">
        <v>2170688159</v>
      </c>
      <c r="F1652" s="6" t="s">
        <v>16</v>
      </c>
      <c r="G1652" s="6" t="s">
        <v>17</v>
      </c>
      <c r="H1652" s="6" t="s">
        <v>17</v>
      </c>
      <c r="I1652" s="6" t="s">
        <v>23</v>
      </c>
      <c r="J1652" s="6" t="s">
        <v>101</v>
      </c>
      <c r="K1652" s="7">
        <v>43600</v>
      </c>
      <c r="L1652" s="8">
        <v>0.3576388888888889</v>
      </c>
      <c r="M1652" s="6" t="s">
        <v>2644</v>
      </c>
      <c r="N1652" s="6" t="s">
        <v>21</v>
      </c>
      <c r="O1652" s="6" t="s">
        <v>22</v>
      </c>
    </row>
    <row r="1653" spans="1:15" hidden="1">
      <c r="A1653" t="s">
        <v>15</v>
      </c>
      <c r="B1653" t="str">
        <f>"FES1162689639"</f>
        <v>FES1162689639</v>
      </c>
      <c r="C1653" s="9">
        <v>43599</v>
      </c>
      <c r="D1653">
        <v>1</v>
      </c>
      <c r="E1653">
        <v>2170688188</v>
      </c>
      <c r="F1653" t="s">
        <v>16</v>
      </c>
      <c r="G1653" t="s">
        <v>17</v>
      </c>
      <c r="H1653" t="s">
        <v>43</v>
      </c>
      <c r="I1653" t="s">
        <v>44</v>
      </c>
      <c r="J1653" t="s">
        <v>938</v>
      </c>
      <c r="K1653" s="9">
        <v>43600</v>
      </c>
      <c r="L1653" s="10">
        <v>0.33749999999999997</v>
      </c>
      <c r="M1653" t="s">
        <v>2574</v>
      </c>
      <c r="N1653" t="s">
        <v>2645</v>
      </c>
      <c r="O1653" t="s">
        <v>22</v>
      </c>
    </row>
    <row r="1654" spans="1:15" hidden="1">
      <c r="A1654" t="s">
        <v>15</v>
      </c>
      <c r="B1654" t="str">
        <f>"FES1162689640"</f>
        <v>FES1162689640</v>
      </c>
      <c r="C1654" s="9">
        <v>43599</v>
      </c>
      <c r="D1654">
        <v>1</v>
      </c>
      <c r="E1654">
        <v>2170688190</v>
      </c>
      <c r="F1654" t="s">
        <v>16</v>
      </c>
      <c r="G1654" t="s">
        <v>17</v>
      </c>
      <c r="H1654" t="s">
        <v>43</v>
      </c>
      <c r="I1654" t="s">
        <v>44</v>
      </c>
      <c r="J1654" t="s">
        <v>798</v>
      </c>
      <c r="K1654" s="9">
        <v>43601</v>
      </c>
      <c r="L1654" s="10">
        <v>0.41666666666666669</v>
      </c>
      <c r="M1654" t="s">
        <v>799</v>
      </c>
      <c r="N1654" t="s">
        <v>2646</v>
      </c>
      <c r="O1654" t="s">
        <v>22</v>
      </c>
    </row>
    <row r="1655" spans="1:15" hidden="1">
      <c r="A1655" t="s">
        <v>15</v>
      </c>
      <c r="B1655" t="str">
        <f>"FES1162689608"</f>
        <v>FES1162689608</v>
      </c>
      <c r="C1655" s="9">
        <v>43599</v>
      </c>
      <c r="D1655">
        <v>1</v>
      </c>
      <c r="E1655">
        <v>2170688146</v>
      </c>
      <c r="F1655" t="s">
        <v>16</v>
      </c>
      <c r="G1655" t="s">
        <v>17</v>
      </c>
      <c r="H1655" t="s">
        <v>43</v>
      </c>
      <c r="I1655" t="s">
        <v>60</v>
      </c>
      <c r="J1655" t="s">
        <v>242</v>
      </c>
      <c r="K1655" s="9">
        <v>43601</v>
      </c>
      <c r="L1655" s="10">
        <v>0.37986111111111115</v>
      </c>
      <c r="M1655" t="s">
        <v>2647</v>
      </c>
      <c r="N1655" t="s">
        <v>2648</v>
      </c>
      <c r="O1655" t="s">
        <v>22</v>
      </c>
    </row>
    <row r="1656" spans="1:15" hidden="1">
      <c r="A1656" t="s">
        <v>15</v>
      </c>
      <c r="B1656" t="str">
        <f>"FES1162689589"</f>
        <v>FES1162689589</v>
      </c>
      <c r="C1656" s="9">
        <v>43599</v>
      </c>
      <c r="D1656">
        <v>1</v>
      </c>
      <c r="E1656">
        <v>2170687549</v>
      </c>
      <c r="F1656" t="s">
        <v>16</v>
      </c>
      <c r="G1656" t="s">
        <v>17</v>
      </c>
      <c r="H1656" t="s">
        <v>43</v>
      </c>
      <c r="I1656" t="s">
        <v>60</v>
      </c>
      <c r="J1656" t="s">
        <v>242</v>
      </c>
      <c r="K1656" s="9">
        <v>43601</v>
      </c>
      <c r="L1656" s="10">
        <v>0.38055555555555554</v>
      </c>
      <c r="M1656" t="s">
        <v>2649</v>
      </c>
      <c r="N1656" t="s">
        <v>2650</v>
      </c>
      <c r="O1656" t="s">
        <v>22</v>
      </c>
    </row>
    <row r="1657" spans="1:15">
      <c r="A1657" s="6" t="s">
        <v>15</v>
      </c>
      <c r="B1657" s="6" t="str">
        <f>"FES1162689477"</f>
        <v>FES1162689477</v>
      </c>
      <c r="C1657" s="7">
        <v>43599</v>
      </c>
      <c r="D1657" s="6">
        <v>1</v>
      </c>
      <c r="E1657" s="6">
        <v>2170688038</v>
      </c>
      <c r="F1657" s="6" t="s">
        <v>16</v>
      </c>
      <c r="G1657" s="6" t="s">
        <v>17</v>
      </c>
      <c r="H1657" s="6" t="s">
        <v>17</v>
      </c>
      <c r="I1657" s="6" t="s">
        <v>1984</v>
      </c>
      <c r="J1657" s="6" t="s">
        <v>2605</v>
      </c>
      <c r="K1657" s="7">
        <v>43600</v>
      </c>
      <c r="L1657" s="8">
        <v>0.33333333333333331</v>
      </c>
      <c r="M1657" s="6" t="s">
        <v>1095</v>
      </c>
      <c r="N1657" s="6" t="s">
        <v>21</v>
      </c>
      <c r="O1657" s="6" t="s">
        <v>22</v>
      </c>
    </row>
    <row r="1658" spans="1:15">
      <c r="A1658" s="6" t="s">
        <v>15</v>
      </c>
      <c r="B1658" s="6" t="str">
        <f>"FES1162689701"</f>
        <v>FES1162689701</v>
      </c>
      <c r="C1658" s="7">
        <v>43599</v>
      </c>
      <c r="D1658" s="6">
        <v>1</v>
      </c>
      <c r="E1658" s="6">
        <v>2170686586</v>
      </c>
      <c r="F1658" s="6" t="s">
        <v>16</v>
      </c>
      <c r="G1658" s="6" t="s">
        <v>17</v>
      </c>
      <c r="H1658" s="6" t="s">
        <v>17</v>
      </c>
      <c r="I1658" s="6" t="s">
        <v>148</v>
      </c>
      <c r="J1658" s="6" t="s">
        <v>162</v>
      </c>
      <c r="K1658" s="7">
        <v>43600</v>
      </c>
      <c r="L1658" s="8">
        <v>0.33333333333333331</v>
      </c>
      <c r="M1658" s="6" t="s">
        <v>163</v>
      </c>
      <c r="N1658" s="6" t="s">
        <v>21</v>
      </c>
      <c r="O1658" s="6" t="s">
        <v>22</v>
      </c>
    </row>
    <row r="1659" spans="1:15" hidden="1">
      <c r="A1659" t="s">
        <v>15</v>
      </c>
      <c r="B1659" t="str">
        <f>"FES1162689587"</f>
        <v>FES1162689587</v>
      </c>
      <c r="C1659" s="9">
        <v>43599</v>
      </c>
      <c r="D1659">
        <v>1</v>
      </c>
      <c r="E1659">
        <v>2170687319</v>
      </c>
      <c r="F1659" t="s">
        <v>16</v>
      </c>
      <c r="G1659" t="s">
        <v>17</v>
      </c>
      <c r="H1659" t="s">
        <v>32</v>
      </c>
      <c r="I1659" t="s">
        <v>33</v>
      </c>
      <c r="J1659" t="s">
        <v>2651</v>
      </c>
      <c r="K1659" s="9">
        <v>43600</v>
      </c>
      <c r="L1659" s="10">
        <v>0.42569444444444443</v>
      </c>
      <c r="M1659" t="s">
        <v>2640</v>
      </c>
      <c r="N1659" t="s">
        <v>2652</v>
      </c>
      <c r="O1659" t="s">
        <v>22</v>
      </c>
    </row>
    <row r="1660" spans="1:15">
      <c r="A1660" s="6" t="s">
        <v>15</v>
      </c>
      <c r="B1660" s="6" t="str">
        <f>"FES1162689722"</f>
        <v>FES1162689722</v>
      </c>
      <c r="C1660" s="7">
        <v>43599</v>
      </c>
      <c r="D1660" s="6">
        <v>1</v>
      </c>
      <c r="E1660" s="6">
        <v>2170686941</v>
      </c>
      <c r="F1660" s="6" t="s">
        <v>16</v>
      </c>
      <c r="G1660" s="6" t="s">
        <v>17</v>
      </c>
      <c r="H1660" s="6" t="s">
        <v>17</v>
      </c>
      <c r="I1660" s="6" t="s">
        <v>64</v>
      </c>
      <c r="J1660" s="6" t="s">
        <v>552</v>
      </c>
      <c r="K1660" s="7">
        <v>43600</v>
      </c>
      <c r="L1660" s="8">
        <v>0.33333333333333331</v>
      </c>
      <c r="M1660" s="6" t="s">
        <v>100</v>
      </c>
      <c r="N1660" s="6" t="s">
        <v>21</v>
      </c>
      <c r="O1660" s="6" t="s">
        <v>22</v>
      </c>
    </row>
    <row r="1661" spans="1:15" hidden="1">
      <c r="A1661" t="s">
        <v>15</v>
      </c>
      <c r="B1661" t="str">
        <f>"FES1162689691"</f>
        <v>FES1162689691</v>
      </c>
      <c r="C1661" s="9">
        <v>43599</v>
      </c>
      <c r="D1661">
        <v>1</v>
      </c>
      <c r="E1661">
        <v>2170686524</v>
      </c>
      <c r="F1661" t="s">
        <v>16</v>
      </c>
      <c r="G1661" t="s">
        <v>17</v>
      </c>
      <c r="H1661" t="s">
        <v>37</v>
      </c>
      <c r="I1661" t="s">
        <v>38</v>
      </c>
      <c r="J1661" t="s">
        <v>349</v>
      </c>
      <c r="K1661" s="9">
        <v>43600</v>
      </c>
      <c r="L1661" s="10">
        <v>0.39583333333333331</v>
      </c>
      <c r="M1661" t="s">
        <v>2653</v>
      </c>
      <c r="N1661" t="s">
        <v>2654</v>
      </c>
      <c r="O1661" t="s">
        <v>22</v>
      </c>
    </row>
    <row r="1662" spans="1:15">
      <c r="A1662" s="6" t="s">
        <v>15</v>
      </c>
      <c r="B1662" s="6" t="str">
        <f>"FES1162689596"</f>
        <v>FES1162689596</v>
      </c>
      <c r="C1662" s="7">
        <v>43599</v>
      </c>
      <c r="D1662" s="6">
        <v>1</v>
      </c>
      <c r="E1662" s="6">
        <v>2170687889</v>
      </c>
      <c r="F1662" s="6" t="s">
        <v>16</v>
      </c>
      <c r="G1662" s="6" t="s">
        <v>17</v>
      </c>
      <c r="H1662" s="6" t="s">
        <v>17</v>
      </c>
      <c r="I1662" s="6" t="s">
        <v>23</v>
      </c>
      <c r="J1662" s="6" t="s">
        <v>106</v>
      </c>
      <c r="K1662" s="7">
        <v>43600</v>
      </c>
      <c r="L1662" s="8">
        <v>0.33333333333333331</v>
      </c>
      <c r="M1662" s="6" t="s">
        <v>107</v>
      </c>
      <c r="N1662" s="6" t="s">
        <v>21</v>
      </c>
      <c r="O1662" s="6" t="s">
        <v>22</v>
      </c>
    </row>
    <row r="1663" spans="1:15">
      <c r="A1663" s="6" t="s">
        <v>15</v>
      </c>
      <c r="B1663" s="6" t="str">
        <f>"FES1162689588"</f>
        <v>FES1162689588</v>
      </c>
      <c r="C1663" s="7">
        <v>43599</v>
      </c>
      <c r="D1663" s="6">
        <v>1</v>
      </c>
      <c r="E1663" s="6">
        <v>2170687405</v>
      </c>
      <c r="F1663" s="6" t="s">
        <v>16</v>
      </c>
      <c r="G1663" s="6" t="s">
        <v>17</v>
      </c>
      <c r="H1663" s="6" t="s">
        <v>17</v>
      </c>
      <c r="I1663" s="6" t="s">
        <v>23</v>
      </c>
      <c r="J1663" s="6" t="s">
        <v>158</v>
      </c>
      <c r="K1663" s="7">
        <v>43600</v>
      </c>
      <c r="L1663" s="8">
        <v>0.3527777777777778</v>
      </c>
      <c r="M1663" s="6" t="s">
        <v>100</v>
      </c>
      <c r="N1663" s="6" t="s">
        <v>21</v>
      </c>
      <c r="O1663" s="6" t="s">
        <v>22</v>
      </c>
    </row>
    <row r="1664" spans="1:15" hidden="1">
      <c r="A1664" t="s">
        <v>15</v>
      </c>
      <c r="B1664" t="str">
        <f>"FES1162689624"</f>
        <v>FES1162689624</v>
      </c>
      <c r="C1664" s="9">
        <v>43599</v>
      </c>
      <c r="D1664">
        <v>1</v>
      </c>
      <c r="E1664">
        <v>2170688161</v>
      </c>
      <c r="F1664" t="s">
        <v>16</v>
      </c>
      <c r="G1664" t="s">
        <v>17</v>
      </c>
      <c r="H1664" t="s">
        <v>37</v>
      </c>
      <c r="I1664" t="s">
        <v>38</v>
      </c>
      <c r="J1664" t="s">
        <v>2655</v>
      </c>
      <c r="K1664" s="9">
        <v>43600</v>
      </c>
      <c r="L1664" s="10">
        <v>0.38541666666666669</v>
      </c>
      <c r="M1664" t="s">
        <v>542</v>
      </c>
      <c r="N1664" t="s">
        <v>2656</v>
      </c>
      <c r="O1664" t="s">
        <v>22</v>
      </c>
    </row>
    <row r="1665" spans="1:15" hidden="1">
      <c r="A1665" t="s">
        <v>15</v>
      </c>
      <c r="B1665" t="str">
        <f>"FES1162689719"</f>
        <v>FES1162689719</v>
      </c>
      <c r="C1665" s="9">
        <v>43599</v>
      </c>
      <c r="D1665">
        <v>1</v>
      </c>
      <c r="E1665">
        <v>2170686878</v>
      </c>
      <c r="F1665" t="s">
        <v>16</v>
      </c>
      <c r="G1665" t="s">
        <v>17</v>
      </c>
      <c r="H1665" t="s">
        <v>290</v>
      </c>
      <c r="I1665" t="s">
        <v>309</v>
      </c>
      <c r="J1665" t="s">
        <v>331</v>
      </c>
      <c r="K1665" s="9">
        <v>43600</v>
      </c>
      <c r="L1665" s="10">
        <v>0.3611111111111111</v>
      </c>
      <c r="M1665" t="s">
        <v>332</v>
      </c>
      <c r="N1665" t="s">
        <v>2657</v>
      </c>
      <c r="O1665" t="s">
        <v>22</v>
      </c>
    </row>
    <row r="1666" spans="1:15">
      <c r="A1666" s="6" t="s">
        <v>15</v>
      </c>
      <c r="B1666" s="6" t="str">
        <f>"FES1162689558"</f>
        <v>FES1162689558</v>
      </c>
      <c r="C1666" s="7">
        <v>43599</v>
      </c>
      <c r="D1666" s="6">
        <v>1</v>
      </c>
      <c r="E1666" s="6">
        <v>2170688125</v>
      </c>
      <c r="F1666" s="6" t="s">
        <v>16</v>
      </c>
      <c r="G1666" s="6" t="s">
        <v>17</v>
      </c>
      <c r="H1666" s="6" t="s">
        <v>17</v>
      </c>
      <c r="I1666" s="6" t="s">
        <v>64</v>
      </c>
      <c r="J1666" s="6" t="s">
        <v>288</v>
      </c>
      <c r="K1666" s="7">
        <v>43601</v>
      </c>
      <c r="L1666" s="8">
        <v>0.47222222222222227</v>
      </c>
      <c r="M1666" s="6" t="s">
        <v>969</v>
      </c>
      <c r="N1666" s="6" t="s">
        <v>21</v>
      </c>
      <c r="O1666" s="6" t="s">
        <v>22</v>
      </c>
    </row>
    <row r="1667" spans="1:15" hidden="1">
      <c r="A1667" t="s">
        <v>15</v>
      </c>
      <c r="B1667" t="str">
        <f>"FES1162689268"</f>
        <v>FES1162689268</v>
      </c>
      <c r="C1667" s="9">
        <v>43599</v>
      </c>
      <c r="D1667">
        <v>1</v>
      </c>
      <c r="E1667">
        <v>2170686157</v>
      </c>
      <c r="F1667" t="s">
        <v>58</v>
      </c>
      <c r="G1667" t="s">
        <v>59</v>
      </c>
      <c r="H1667" t="s">
        <v>59</v>
      </c>
      <c r="I1667" t="s">
        <v>64</v>
      </c>
      <c r="J1667" t="s">
        <v>524</v>
      </c>
      <c r="K1667" s="9">
        <v>43600</v>
      </c>
      <c r="L1667" s="10">
        <v>0.38541666666666669</v>
      </c>
      <c r="M1667" t="s">
        <v>97</v>
      </c>
      <c r="N1667" t="s">
        <v>2658</v>
      </c>
      <c r="O1667" t="s">
        <v>22</v>
      </c>
    </row>
    <row r="1668" spans="1:15">
      <c r="A1668" s="6" t="s">
        <v>15</v>
      </c>
      <c r="B1668" s="6" t="str">
        <f>"FES1162689662"</f>
        <v>FES1162689662</v>
      </c>
      <c r="C1668" s="7">
        <v>43599</v>
      </c>
      <c r="D1668" s="6">
        <v>1</v>
      </c>
      <c r="E1668" s="6">
        <v>2170687392</v>
      </c>
      <c r="F1668" s="6" t="s">
        <v>16</v>
      </c>
      <c r="G1668" s="6" t="s">
        <v>17</v>
      </c>
      <c r="H1668" s="6" t="s">
        <v>17</v>
      </c>
      <c r="I1668" s="6" t="s">
        <v>67</v>
      </c>
      <c r="J1668" s="6" t="s">
        <v>1621</v>
      </c>
      <c r="K1668" s="7">
        <v>43600</v>
      </c>
      <c r="L1668" s="8">
        <v>0.34027777777777773</v>
      </c>
      <c r="M1668" s="6" t="s">
        <v>1347</v>
      </c>
      <c r="N1668" s="6" t="s">
        <v>21</v>
      </c>
      <c r="O1668" s="6" t="s">
        <v>22</v>
      </c>
    </row>
    <row r="1669" spans="1:15">
      <c r="A1669" s="6" t="s">
        <v>15</v>
      </c>
      <c r="B1669" s="6" t="str">
        <f>"FES1162689638"</f>
        <v>FES1162689638</v>
      </c>
      <c r="C1669" s="7">
        <v>43599</v>
      </c>
      <c r="D1669" s="6">
        <v>1</v>
      </c>
      <c r="E1669" s="6">
        <v>2170688187</v>
      </c>
      <c r="F1669" s="6" t="s">
        <v>16</v>
      </c>
      <c r="G1669" s="6" t="s">
        <v>17</v>
      </c>
      <c r="H1669" s="6" t="s">
        <v>17</v>
      </c>
      <c r="I1669" s="6" t="s">
        <v>64</v>
      </c>
      <c r="J1669" s="6" t="s">
        <v>509</v>
      </c>
      <c r="K1669" s="7">
        <v>43600</v>
      </c>
      <c r="L1669" s="8">
        <v>0.375</v>
      </c>
      <c r="M1669" s="6" t="s">
        <v>2659</v>
      </c>
      <c r="N1669" s="6" t="s">
        <v>21</v>
      </c>
      <c r="O1669" s="6" t="s">
        <v>22</v>
      </c>
    </row>
    <row r="1670" spans="1:15" hidden="1">
      <c r="A1670" t="s">
        <v>15</v>
      </c>
      <c r="B1670" t="str">
        <f>"FES1162689605"</f>
        <v>FES1162689605</v>
      </c>
      <c r="C1670" s="9">
        <v>43599</v>
      </c>
      <c r="D1670">
        <v>1</v>
      </c>
      <c r="E1670">
        <v>2170688138</v>
      </c>
      <c r="F1670" t="s">
        <v>16</v>
      </c>
      <c r="G1670" t="s">
        <v>17</v>
      </c>
      <c r="H1670" t="s">
        <v>59</v>
      </c>
      <c r="I1670" t="s">
        <v>18</v>
      </c>
      <c r="J1670" t="s">
        <v>160</v>
      </c>
      <c r="K1670" s="9">
        <v>43600</v>
      </c>
      <c r="L1670" s="10">
        <v>0.35972222222222222</v>
      </c>
      <c r="M1670" t="s">
        <v>2660</v>
      </c>
      <c r="N1670" t="s">
        <v>2661</v>
      </c>
      <c r="O1670" t="s">
        <v>22</v>
      </c>
    </row>
    <row r="1671" spans="1:15">
      <c r="A1671" s="6" t="s">
        <v>15</v>
      </c>
      <c r="B1671" s="6" t="str">
        <f>"FES1162689696"</f>
        <v>FES1162689696</v>
      </c>
      <c r="C1671" s="7">
        <v>43599</v>
      </c>
      <c r="D1671" s="6">
        <v>1</v>
      </c>
      <c r="E1671" s="6">
        <v>2170686541</v>
      </c>
      <c r="F1671" s="6" t="s">
        <v>16</v>
      </c>
      <c r="G1671" s="6" t="s">
        <v>17</v>
      </c>
      <c r="H1671" s="6" t="s">
        <v>17</v>
      </c>
      <c r="I1671" s="6" t="s">
        <v>148</v>
      </c>
      <c r="J1671" s="6" t="s">
        <v>149</v>
      </c>
      <c r="K1671" s="7">
        <v>43600</v>
      </c>
      <c r="L1671" s="8">
        <v>0.40763888888888888</v>
      </c>
      <c r="M1671" s="6" t="s">
        <v>2662</v>
      </c>
      <c r="N1671" s="6" t="s">
        <v>21</v>
      </c>
      <c r="O1671" s="6" t="s">
        <v>22</v>
      </c>
    </row>
    <row r="1672" spans="1:15">
      <c r="A1672" s="6" t="s">
        <v>15</v>
      </c>
      <c r="B1672" s="6" t="str">
        <f>"FES1162689575"</f>
        <v>FES1162689575</v>
      </c>
      <c r="C1672" s="7">
        <v>43599</v>
      </c>
      <c r="D1672" s="6">
        <v>1</v>
      </c>
      <c r="E1672" s="6">
        <v>2170686289</v>
      </c>
      <c r="F1672" s="6" t="s">
        <v>16</v>
      </c>
      <c r="G1672" s="6" t="s">
        <v>17</v>
      </c>
      <c r="H1672" s="6" t="s">
        <v>17</v>
      </c>
      <c r="I1672" s="6" t="s">
        <v>26</v>
      </c>
      <c r="J1672" s="6" t="s">
        <v>1383</v>
      </c>
      <c r="K1672" s="7">
        <v>43600</v>
      </c>
      <c r="L1672" s="8">
        <v>0.38750000000000001</v>
      </c>
      <c r="M1672" s="6" t="s">
        <v>2663</v>
      </c>
      <c r="N1672" s="6" t="s">
        <v>21</v>
      </c>
      <c r="O1672" s="6" t="s">
        <v>22</v>
      </c>
    </row>
    <row r="1673" spans="1:15">
      <c r="A1673" s="6" t="s">
        <v>15</v>
      </c>
      <c r="B1673" s="6" t="str">
        <f>"FES1162689577"</f>
        <v>FES1162689577</v>
      </c>
      <c r="C1673" s="7">
        <v>43599</v>
      </c>
      <c r="D1673" s="6">
        <v>1</v>
      </c>
      <c r="E1673" s="6">
        <v>2170686794</v>
      </c>
      <c r="F1673" s="6" t="s">
        <v>16</v>
      </c>
      <c r="G1673" s="6" t="s">
        <v>17</v>
      </c>
      <c r="H1673" s="6" t="s">
        <v>17</v>
      </c>
      <c r="I1673" s="6" t="s">
        <v>26</v>
      </c>
      <c r="J1673" s="6" t="s">
        <v>1383</v>
      </c>
      <c r="K1673" s="7">
        <v>43600</v>
      </c>
      <c r="L1673" s="8">
        <v>0.38750000000000001</v>
      </c>
      <c r="M1673" s="6" t="s">
        <v>2663</v>
      </c>
      <c r="N1673" s="6" t="s">
        <v>21</v>
      </c>
      <c r="O1673" s="6" t="s">
        <v>22</v>
      </c>
    </row>
    <row r="1674" spans="1:15" hidden="1">
      <c r="A1674" t="s">
        <v>15</v>
      </c>
      <c r="B1674" t="str">
        <f>"FES1162689579"</f>
        <v>FES1162689579</v>
      </c>
      <c r="C1674" s="9">
        <v>43599</v>
      </c>
      <c r="D1674">
        <v>1</v>
      </c>
      <c r="E1674">
        <v>2170686835</v>
      </c>
      <c r="F1674" t="s">
        <v>16</v>
      </c>
      <c r="G1674" t="s">
        <v>17</v>
      </c>
      <c r="H1674" t="s">
        <v>59</v>
      </c>
      <c r="I1674" t="s">
        <v>64</v>
      </c>
      <c r="J1674" t="s">
        <v>513</v>
      </c>
      <c r="K1674" s="9">
        <v>43600</v>
      </c>
      <c r="L1674" s="10">
        <v>0.33333333333333331</v>
      </c>
      <c r="M1674" t="s">
        <v>1725</v>
      </c>
      <c r="N1674" t="s">
        <v>2664</v>
      </c>
      <c r="O1674" t="s">
        <v>22</v>
      </c>
    </row>
    <row r="1675" spans="1:15" hidden="1">
      <c r="A1675" t="s">
        <v>15</v>
      </c>
      <c r="B1675" t="str">
        <f>"FES1162689536"</f>
        <v>FES1162689536</v>
      </c>
      <c r="C1675" s="9">
        <v>43599</v>
      </c>
      <c r="D1675">
        <v>1</v>
      </c>
      <c r="E1675">
        <v>2170688104</v>
      </c>
      <c r="F1675" t="s">
        <v>16</v>
      </c>
      <c r="G1675" t="s">
        <v>17</v>
      </c>
      <c r="H1675" t="s">
        <v>290</v>
      </c>
      <c r="I1675" t="s">
        <v>291</v>
      </c>
      <c r="J1675" t="s">
        <v>1744</v>
      </c>
      <c r="K1675" s="9">
        <v>43600</v>
      </c>
      <c r="L1675" s="10">
        <v>0.34027777777777773</v>
      </c>
      <c r="M1675" t="s">
        <v>2556</v>
      </c>
      <c r="N1675" t="s">
        <v>2665</v>
      </c>
      <c r="O1675" t="s">
        <v>22</v>
      </c>
    </row>
    <row r="1676" spans="1:15" hidden="1">
      <c r="A1676" t="s">
        <v>15</v>
      </c>
      <c r="B1676" t="str">
        <f>"FES1162689680"</f>
        <v>FES1162689680</v>
      </c>
      <c r="C1676" s="9">
        <v>43599</v>
      </c>
      <c r="D1676">
        <v>1</v>
      </c>
      <c r="E1676">
        <v>2170686448</v>
      </c>
      <c r="F1676" t="s">
        <v>16</v>
      </c>
      <c r="G1676" t="s">
        <v>17</v>
      </c>
      <c r="H1676" t="s">
        <v>32</v>
      </c>
      <c r="I1676" t="s">
        <v>2666</v>
      </c>
      <c r="J1676" t="s">
        <v>2667</v>
      </c>
      <c r="K1676" s="9">
        <v>43601</v>
      </c>
      <c r="L1676" t="s">
        <v>2668</v>
      </c>
      <c r="M1676" t="s">
        <v>1456</v>
      </c>
      <c r="N1676" t="s">
        <v>2669</v>
      </c>
      <c r="O1676" t="s">
        <v>22</v>
      </c>
    </row>
    <row r="1677" spans="1:15" hidden="1">
      <c r="A1677" t="s">
        <v>15</v>
      </c>
      <c r="B1677" t="str">
        <f>"FES1162689695"</f>
        <v>FES1162689695</v>
      </c>
      <c r="C1677" s="9">
        <v>43599</v>
      </c>
      <c r="D1677">
        <v>1</v>
      </c>
      <c r="E1677">
        <v>2170686536</v>
      </c>
      <c r="F1677" t="s">
        <v>16</v>
      </c>
      <c r="G1677" t="s">
        <v>17</v>
      </c>
      <c r="H1677" t="s">
        <v>32</v>
      </c>
      <c r="I1677" t="s">
        <v>33</v>
      </c>
      <c r="J1677" t="s">
        <v>832</v>
      </c>
      <c r="K1677" s="9">
        <v>43600</v>
      </c>
      <c r="L1677" s="10">
        <v>0.43472222222222223</v>
      </c>
      <c r="M1677" t="s">
        <v>787</v>
      </c>
      <c r="N1677" t="s">
        <v>2670</v>
      </c>
      <c r="O1677" t="s">
        <v>22</v>
      </c>
    </row>
    <row r="1678" spans="1:15" hidden="1">
      <c r="A1678" t="s">
        <v>15</v>
      </c>
      <c r="B1678" t="str">
        <f>"FES1162689568"</f>
        <v>FES1162689568</v>
      </c>
      <c r="C1678" s="9">
        <v>43599</v>
      </c>
      <c r="D1678">
        <v>1</v>
      </c>
      <c r="E1678">
        <v>2170679483</v>
      </c>
      <c r="F1678" t="s">
        <v>16</v>
      </c>
      <c r="G1678" t="s">
        <v>17</v>
      </c>
      <c r="H1678" t="s">
        <v>32</v>
      </c>
      <c r="I1678" t="s">
        <v>33</v>
      </c>
      <c r="J1678" t="s">
        <v>34</v>
      </c>
      <c r="K1678" s="9">
        <v>43600</v>
      </c>
      <c r="L1678" s="10">
        <v>0.40625</v>
      </c>
      <c r="M1678" t="s">
        <v>35</v>
      </c>
      <c r="N1678" t="s">
        <v>2671</v>
      </c>
      <c r="O1678" t="s">
        <v>22</v>
      </c>
    </row>
    <row r="1679" spans="1:15">
      <c r="A1679" s="6" t="s">
        <v>15</v>
      </c>
      <c r="B1679" s="6" t="str">
        <f>"FES1162689734"</f>
        <v>FES1162689734</v>
      </c>
      <c r="C1679" s="7">
        <v>43599</v>
      </c>
      <c r="D1679" s="6">
        <v>1</v>
      </c>
      <c r="E1679" s="6">
        <v>2170688214</v>
      </c>
      <c r="F1679" s="6" t="s">
        <v>1433</v>
      </c>
      <c r="G1679" s="6" t="s">
        <v>17</v>
      </c>
      <c r="H1679" s="6" t="s">
        <v>17</v>
      </c>
      <c r="I1679" s="6" t="s">
        <v>26</v>
      </c>
      <c r="J1679" s="6" t="s">
        <v>2672</v>
      </c>
      <c r="K1679" s="7">
        <v>43600</v>
      </c>
      <c r="L1679" s="8">
        <v>0.3972222222222222</v>
      </c>
      <c r="M1679" s="6" t="s">
        <v>2673</v>
      </c>
      <c r="N1679" s="6" t="s">
        <v>21</v>
      </c>
      <c r="O1679" s="6" t="s">
        <v>494</v>
      </c>
    </row>
    <row r="1680" spans="1:15" hidden="1">
      <c r="A1680" t="s">
        <v>15</v>
      </c>
      <c r="B1680" t="str">
        <f>"FES1162689623"</f>
        <v>FES1162689623</v>
      </c>
      <c r="C1680" s="9">
        <v>43599</v>
      </c>
      <c r="D1680">
        <v>1</v>
      </c>
      <c r="E1680">
        <v>2170688168</v>
      </c>
      <c r="F1680" t="s">
        <v>16</v>
      </c>
      <c r="G1680" t="s">
        <v>17</v>
      </c>
      <c r="H1680" t="s">
        <v>141</v>
      </c>
      <c r="I1680" t="s">
        <v>142</v>
      </c>
      <c r="J1680" t="s">
        <v>2313</v>
      </c>
      <c r="K1680" s="9">
        <v>43600</v>
      </c>
      <c r="L1680" s="10">
        <v>0.43194444444444446</v>
      </c>
      <c r="M1680" t="s">
        <v>2314</v>
      </c>
      <c r="N1680" t="s">
        <v>2674</v>
      </c>
      <c r="O1680" t="s">
        <v>22</v>
      </c>
    </row>
    <row r="1681" spans="1:15" hidden="1">
      <c r="A1681" t="s">
        <v>15</v>
      </c>
      <c r="B1681" t="str">
        <f>"FES1162689614"</f>
        <v>FES1162689614</v>
      </c>
      <c r="C1681" s="9">
        <v>43599</v>
      </c>
      <c r="D1681">
        <v>1</v>
      </c>
      <c r="E1681">
        <v>2170688154</v>
      </c>
      <c r="F1681" t="s">
        <v>16</v>
      </c>
      <c r="G1681" t="s">
        <v>17</v>
      </c>
      <c r="H1681" t="s">
        <v>141</v>
      </c>
      <c r="I1681" t="s">
        <v>185</v>
      </c>
      <c r="J1681" t="s">
        <v>1250</v>
      </c>
      <c r="K1681" s="9">
        <v>43600</v>
      </c>
      <c r="L1681" s="10">
        <v>0.42152777777777778</v>
      </c>
      <c r="M1681" t="s">
        <v>2675</v>
      </c>
      <c r="N1681" t="s">
        <v>2676</v>
      </c>
      <c r="O1681" t="s">
        <v>22</v>
      </c>
    </row>
    <row r="1682" spans="1:15" hidden="1">
      <c r="A1682" t="s">
        <v>15</v>
      </c>
      <c r="B1682" t="str">
        <f>"FES1162689603"</f>
        <v>FES1162689603</v>
      </c>
      <c r="C1682" s="9">
        <v>43599</v>
      </c>
      <c r="D1682">
        <v>1</v>
      </c>
      <c r="E1682">
        <v>2170688126</v>
      </c>
      <c r="F1682" t="s">
        <v>16</v>
      </c>
      <c r="G1682" t="s">
        <v>17</v>
      </c>
      <c r="H1682" t="s">
        <v>141</v>
      </c>
      <c r="I1682" t="s">
        <v>185</v>
      </c>
      <c r="J1682" t="s">
        <v>2677</v>
      </c>
      <c r="K1682" s="9">
        <v>43600</v>
      </c>
      <c r="L1682" s="10">
        <v>0.35486111111111113</v>
      </c>
      <c r="M1682" t="s">
        <v>2678</v>
      </c>
      <c r="N1682" t="s">
        <v>2679</v>
      </c>
      <c r="O1682" t="s">
        <v>22</v>
      </c>
    </row>
    <row r="1683" spans="1:15" hidden="1">
      <c r="A1683" t="s">
        <v>15</v>
      </c>
      <c r="B1683" t="str">
        <f>"FES1162689606"</f>
        <v>FES1162689606</v>
      </c>
      <c r="C1683" s="9">
        <v>43599</v>
      </c>
      <c r="D1683">
        <v>1</v>
      </c>
      <c r="E1683">
        <v>2170688140</v>
      </c>
      <c r="F1683" t="s">
        <v>16</v>
      </c>
      <c r="G1683" t="s">
        <v>17</v>
      </c>
      <c r="H1683" t="s">
        <v>141</v>
      </c>
      <c r="I1683" t="s">
        <v>448</v>
      </c>
      <c r="J1683" t="s">
        <v>979</v>
      </c>
      <c r="K1683" s="9">
        <v>43600</v>
      </c>
      <c r="L1683" s="10">
        <v>0.40972222222222227</v>
      </c>
      <c r="M1683" t="s">
        <v>2395</v>
      </c>
      <c r="N1683" t="s">
        <v>2680</v>
      </c>
      <c r="O1683" t="s">
        <v>22</v>
      </c>
    </row>
    <row r="1684" spans="1:15" hidden="1">
      <c r="A1684" t="s">
        <v>15</v>
      </c>
      <c r="B1684" t="str">
        <f>"FES1162689599"</f>
        <v>FES1162689599</v>
      </c>
      <c r="C1684" s="9">
        <v>43599</v>
      </c>
      <c r="D1684">
        <v>1</v>
      </c>
      <c r="E1684">
        <v>2170687970</v>
      </c>
      <c r="F1684" t="s">
        <v>16</v>
      </c>
      <c r="G1684" t="s">
        <v>17</v>
      </c>
      <c r="H1684" t="s">
        <v>59</v>
      </c>
      <c r="I1684" t="s">
        <v>103</v>
      </c>
      <c r="J1684" t="s">
        <v>2681</v>
      </c>
      <c r="K1684" s="9">
        <v>43600</v>
      </c>
      <c r="L1684" s="10">
        <v>0.37847222222222227</v>
      </c>
      <c r="M1684" t="s">
        <v>2682</v>
      </c>
      <c r="N1684" t="s">
        <v>2683</v>
      </c>
      <c r="O1684" t="s">
        <v>22</v>
      </c>
    </row>
    <row r="1685" spans="1:15" hidden="1">
      <c r="A1685" t="s">
        <v>15</v>
      </c>
      <c r="B1685" t="str">
        <f>"FES1162689620"</f>
        <v>FES1162689620</v>
      </c>
      <c r="C1685" s="9">
        <v>43599</v>
      </c>
      <c r="D1685">
        <v>1</v>
      </c>
      <c r="E1685">
        <v>2170688164</v>
      </c>
      <c r="F1685" t="s">
        <v>16</v>
      </c>
      <c r="G1685" t="s">
        <v>17</v>
      </c>
      <c r="H1685" t="s">
        <v>141</v>
      </c>
      <c r="I1685" t="s">
        <v>185</v>
      </c>
      <c r="J1685" t="s">
        <v>1116</v>
      </c>
      <c r="K1685" s="9">
        <v>43600</v>
      </c>
      <c r="L1685" s="10">
        <v>0.38055555555555554</v>
      </c>
      <c r="M1685" t="s">
        <v>2684</v>
      </c>
      <c r="N1685" t="s">
        <v>2685</v>
      </c>
      <c r="O1685" t="s">
        <v>22</v>
      </c>
    </row>
    <row r="1686" spans="1:15" hidden="1">
      <c r="A1686" t="s">
        <v>15</v>
      </c>
      <c r="B1686" t="str">
        <f>"FES1162689572"</f>
        <v>FES1162689572</v>
      </c>
      <c r="C1686" s="9">
        <v>43599</v>
      </c>
      <c r="D1686">
        <v>1</v>
      </c>
      <c r="E1686">
        <v>2170685469</v>
      </c>
      <c r="F1686" t="s">
        <v>16</v>
      </c>
      <c r="G1686" t="s">
        <v>17</v>
      </c>
      <c r="H1686" t="s">
        <v>141</v>
      </c>
      <c r="I1686" t="s">
        <v>142</v>
      </c>
      <c r="J1686" t="s">
        <v>213</v>
      </c>
      <c r="K1686" s="9">
        <v>43600</v>
      </c>
      <c r="L1686" s="10">
        <v>0.38541666666666669</v>
      </c>
      <c r="M1686" t="s">
        <v>214</v>
      </c>
      <c r="N1686" t="s">
        <v>2686</v>
      </c>
      <c r="O1686" t="s">
        <v>22</v>
      </c>
    </row>
    <row r="1687" spans="1:15" hidden="1">
      <c r="A1687" t="s">
        <v>15</v>
      </c>
      <c r="B1687" t="str">
        <f>"FES1162689700"</f>
        <v>FES1162689700</v>
      </c>
      <c r="C1687" s="9">
        <v>43599</v>
      </c>
      <c r="D1687">
        <v>1</v>
      </c>
      <c r="E1687">
        <v>2170686585</v>
      </c>
      <c r="F1687" t="s">
        <v>16</v>
      </c>
      <c r="G1687" t="s">
        <v>17</v>
      </c>
      <c r="H1687" t="s">
        <v>37</v>
      </c>
      <c r="I1687" t="s">
        <v>38</v>
      </c>
      <c r="J1687" t="s">
        <v>1027</v>
      </c>
      <c r="K1687" s="9">
        <v>43600</v>
      </c>
      <c r="L1687" s="10">
        <v>0.39930555555555558</v>
      </c>
      <c r="M1687" t="s">
        <v>2687</v>
      </c>
      <c r="N1687" t="s">
        <v>2688</v>
      </c>
      <c r="O1687" t="s">
        <v>22</v>
      </c>
    </row>
    <row r="1688" spans="1:15" hidden="1">
      <c r="A1688" t="s">
        <v>15</v>
      </c>
      <c r="B1688" t="str">
        <f>"FES1162689646"</f>
        <v>FES1162689646</v>
      </c>
      <c r="C1688" s="9">
        <v>43599</v>
      </c>
      <c r="D1688">
        <v>1</v>
      </c>
      <c r="E1688">
        <v>2170686757</v>
      </c>
      <c r="F1688" t="s">
        <v>16</v>
      </c>
      <c r="G1688" t="s">
        <v>17</v>
      </c>
      <c r="H1688" t="s">
        <v>141</v>
      </c>
      <c r="I1688" t="s">
        <v>142</v>
      </c>
      <c r="J1688" t="s">
        <v>917</v>
      </c>
      <c r="K1688" s="9">
        <v>43600</v>
      </c>
      <c r="L1688" s="10">
        <v>0.33333333333333331</v>
      </c>
      <c r="M1688" t="s">
        <v>2689</v>
      </c>
      <c r="N1688" t="s">
        <v>2690</v>
      </c>
      <c r="O1688" t="s">
        <v>22</v>
      </c>
    </row>
    <row r="1689" spans="1:15" hidden="1">
      <c r="A1689" t="s">
        <v>15</v>
      </c>
      <c r="B1689" t="str">
        <f>"FES1162689602"</f>
        <v>FES1162689602</v>
      </c>
      <c r="C1689" s="9">
        <v>43599</v>
      </c>
      <c r="D1689">
        <v>1</v>
      </c>
      <c r="E1689">
        <v>2170688036</v>
      </c>
      <c r="F1689" t="s">
        <v>16</v>
      </c>
      <c r="G1689" t="s">
        <v>17</v>
      </c>
      <c r="H1689" t="s">
        <v>141</v>
      </c>
      <c r="I1689" t="s">
        <v>185</v>
      </c>
      <c r="J1689" t="s">
        <v>1916</v>
      </c>
      <c r="K1689" s="9">
        <v>43600</v>
      </c>
      <c r="L1689" s="10">
        <v>0.3972222222222222</v>
      </c>
      <c r="M1689" t="s">
        <v>2691</v>
      </c>
      <c r="N1689" t="s">
        <v>2692</v>
      </c>
      <c r="O1689" t="s">
        <v>22</v>
      </c>
    </row>
    <row r="1690" spans="1:15" hidden="1">
      <c r="A1690" t="s">
        <v>15</v>
      </c>
      <c r="B1690" t="str">
        <f>"FES1162689570"</f>
        <v>FES1162689570</v>
      </c>
      <c r="C1690" s="9">
        <v>43599</v>
      </c>
      <c r="D1690">
        <v>1</v>
      </c>
      <c r="E1690">
        <v>2170681326</v>
      </c>
      <c r="F1690" t="s">
        <v>16</v>
      </c>
      <c r="G1690" t="s">
        <v>17</v>
      </c>
      <c r="H1690" t="s">
        <v>32</v>
      </c>
      <c r="I1690" t="s">
        <v>33</v>
      </c>
      <c r="J1690" t="s">
        <v>34</v>
      </c>
      <c r="K1690" s="9">
        <v>43600</v>
      </c>
      <c r="L1690" s="10">
        <v>0.40625</v>
      </c>
      <c r="M1690" t="s">
        <v>35</v>
      </c>
      <c r="N1690" t="s">
        <v>2693</v>
      </c>
      <c r="O1690" t="s">
        <v>22</v>
      </c>
    </row>
    <row r="1691" spans="1:15" hidden="1">
      <c r="A1691" t="s">
        <v>15</v>
      </c>
      <c r="B1691" t="str">
        <f>"FES1162689610"</f>
        <v>FES1162689610</v>
      </c>
      <c r="C1691" s="9">
        <v>43599</v>
      </c>
      <c r="D1691">
        <v>1</v>
      </c>
      <c r="E1691">
        <v>2170688150</v>
      </c>
      <c r="F1691" t="s">
        <v>16</v>
      </c>
      <c r="G1691" t="s">
        <v>17</v>
      </c>
      <c r="H1691" t="s">
        <v>43</v>
      </c>
      <c r="I1691" t="s">
        <v>44</v>
      </c>
      <c r="J1691" t="s">
        <v>336</v>
      </c>
      <c r="K1691" s="9">
        <v>43600</v>
      </c>
      <c r="L1691" s="10">
        <v>0.35902777777777778</v>
      </c>
      <c r="M1691" t="s">
        <v>1502</v>
      </c>
      <c r="N1691" t="s">
        <v>2694</v>
      </c>
      <c r="O1691" t="s">
        <v>22</v>
      </c>
    </row>
    <row r="1692" spans="1:15" hidden="1">
      <c r="A1692" t="s">
        <v>15</v>
      </c>
      <c r="B1692" t="str">
        <f>"FES1162689590"</f>
        <v>FES1162689590</v>
      </c>
      <c r="C1692" s="9">
        <v>43599</v>
      </c>
      <c r="D1692">
        <v>1</v>
      </c>
      <c r="E1692">
        <v>2170687639</v>
      </c>
      <c r="F1692" t="s">
        <v>16</v>
      </c>
      <c r="G1692" t="s">
        <v>17</v>
      </c>
      <c r="H1692" t="s">
        <v>141</v>
      </c>
      <c r="I1692" t="s">
        <v>142</v>
      </c>
      <c r="J1692" t="s">
        <v>2157</v>
      </c>
      <c r="K1692" s="9">
        <v>43600</v>
      </c>
      <c r="L1692" s="10">
        <v>0.42708333333333331</v>
      </c>
      <c r="M1692" t="s">
        <v>2695</v>
      </c>
      <c r="N1692" t="s">
        <v>2696</v>
      </c>
      <c r="O1692" t="s">
        <v>22</v>
      </c>
    </row>
    <row r="1693" spans="1:15" hidden="1">
      <c r="A1693" t="s">
        <v>15</v>
      </c>
      <c r="B1693" t="str">
        <f>"FES1162689657"</f>
        <v>FES1162689657</v>
      </c>
      <c r="C1693" s="9">
        <v>43599</v>
      </c>
      <c r="D1693">
        <v>1</v>
      </c>
      <c r="E1693">
        <v>2170688202</v>
      </c>
      <c r="F1693" t="s">
        <v>16</v>
      </c>
      <c r="G1693" t="s">
        <v>17</v>
      </c>
      <c r="H1693" t="s">
        <v>141</v>
      </c>
      <c r="I1693" t="s">
        <v>142</v>
      </c>
      <c r="J1693" t="s">
        <v>2697</v>
      </c>
      <c r="K1693" s="9">
        <v>43600</v>
      </c>
      <c r="L1693" s="10">
        <v>0.41666666666666669</v>
      </c>
      <c r="M1693" t="s">
        <v>2698</v>
      </c>
      <c r="N1693" t="s">
        <v>2699</v>
      </c>
      <c r="O1693" t="s">
        <v>22</v>
      </c>
    </row>
    <row r="1694" spans="1:15" hidden="1">
      <c r="A1694" t="s">
        <v>15</v>
      </c>
      <c r="B1694" t="str">
        <f>"FES1162689618"</f>
        <v>FES1162689618</v>
      </c>
      <c r="C1694" s="9">
        <v>43599</v>
      </c>
      <c r="D1694">
        <v>1</v>
      </c>
      <c r="E1694">
        <v>2170688162</v>
      </c>
      <c r="F1694" t="s">
        <v>16</v>
      </c>
      <c r="G1694" t="s">
        <v>17</v>
      </c>
      <c r="H1694" t="s">
        <v>141</v>
      </c>
      <c r="I1694" t="s">
        <v>185</v>
      </c>
      <c r="J1694" t="s">
        <v>906</v>
      </c>
      <c r="K1694" s="9">
        <v>43600</v>
      </c>
      <c r="L1694" s="10">
        <v>0.38125000000000003</v>
      </c>
      <c r="M1694" t="s">
        <v>2684</v>
      </c>
      <c r="N1694" t="s">
        <v>2700</v>
      </c>
      <c r="O1694" t="s">
        <v>22</v>
      </c>
    </row>
    <row r="1695" spans="1:15" hidden="1">
      <c r="A1695" t="s">
        <v>15</v>
      </c>
      <c r="B1695" t="str">
        <f>"FES1162689629"</f>
        <v>FES1162689629</v>
      </c>
      <c r="C1695" s="9">
        <v>43599</v>
      </c>
      <c r="D1695">
        <v>1</v>
      </c>
      <c r="E1695">
        <v>2170688178</v>
      </c>
      <c r="F1695" t="s">
        <v>16</v>
      </c>
      <c r="G1695" t="s">
        <v>17</v>
      </c>
      <c r="H1695" t="s">
        <v>322</v>
      </c>
      <c r="I1695" t="s">
        <v>618</v>
      </c>
      <c r="J1695" t="s">
        <v>619</v>
      </c>
      <c r="K1695" s="9">
        <v>43600</v>
      </c>
      <c r="L1695" s="10">
        <v>0.58333333333333337</v>
      </c>
      <c r="M1695" t="s">
        <v>620</v>
      </c>
      <c r="N1695" t="s">
        <v>2701</v>
      </c>
      <c r="O1695" t="s">
        <v>22</v>
      </c>
    </row>
    <row r="1696" spans="1:15" hidden="1">
      <c r="A1696" t="s">
        <v>15</v>
      </c>
      <c r="B1696" t="str">
        <f>"FES1162689681"</f>
        <v>FES1162689681</v>
      </c>
      <c r="C1696" s="9">
        <v>43599</v>
      </c>
      <c r="D1696">
        <v>1</v>
      </c>
      <c r="E1696">
        <v>2170686459</v>
      </c>
      <c r="F1696" t="s">
        <v>16</v>
      </c>
      <c r="G1696" t="s">
        <v>17</v>
      </c>
      <c r="H1696" t="s">
        <v>43</v>
      </c>
      <c r="I1696" t="s">
        <v>44</v>
      </c>
      <c r="J1696" t="s">
        <v>256</v>
      </c>
      <c r="K1696" s="9">
        <v>43600</v>
      </c>
      <c r="L1696" s="10">
        <v>0.3298611111111111</v>
      </c>
      <c r="M1696" t="s">
        <v>1989</v>
      </c>
      <c r="N1696" t="s">
        <v>2702</v>
      </c>
      <c r="O1696" t="s">
        <v>22</v>
      </c>
    </row>
    <row r="1697" spans="1:15" hidden="1">
      <c r="A1697" t="s">
        <v>15</v>
      </c>
      <c r="B1697" t="str">
        <f>"FES1162689658"</f>
        <v>FES1162689658</v>
      </c>
      <c r="C1697" s="9">
        <v>43599</v>
      </c>
      <c r="D1697">
        <v>1</v>
      </c>
      <c r="E1697">
        <v>2170688203</v>
      </c>
      <c r="F1697" t="s">
        <v>16</v>
      </c>
      <c r="G1697" t="s">
        <v>17</v>
      </c>
      <c r="H1697" t="s">
        <v>141</v>
      </c>
      <c r="I1697" t="s">
        <v>142</v>
      </c>
      <c r="J1697" t="s">
        <v>2232</v>
      </c>
      <c r="K1697" s="9">
        <v>43600</v>
      </c>
      <c r="L1697" s="10">
        <v>0.4375</v>
      </c>
      <c r="M1697" t="s">
        <v>1314</v>
      </c>
      <c r="N1697" t="s">
        <v>2703</v>
      </c>
      <c r="O1697" t="s">
        <v>22</v>
      </c>
    </row>
    <row r="1698" spans="1:15" hidden="1">
      <c r="A1698" t="s">
        <v>15</v>
      </c>
      <c r="B1698" t="str">
        <f>"FES1162689643"</f>
        <v>FES1162689643</v>
      </c>
      <c r="C1698" s="9">
        <v>43599</v>
      </c>
      <c r="D1698">
        <v>1</v>
      </c>
      <c r="E1698">
        <v>2170685916</v>
      </c>
      <c r="F1698" t="s">
        <v>16</v>
      </c>
      <c r="G1698" t="s">
        <v>17</v>
      </c>
      <c r="H1698" t="s">
        <v>132</v>
      </c>
      <c r="I1698" t="s">
        <v>133</v>
      </c>
      <c r="J1698" t="s">
        <v>189</v>
      </c>
      <c r="K1698" s="9">
        <v>43600</v>
      </c>
      <c r="L1698" s="10">
        <v>0.40625</v>
      </c>
      <c r="M1698" t="s">
        <v>259</v>
      </c>
      <c r="N1698" t="s">
        <v>2704</v>
      </c>
      <c r="O1698" t="s">
        <v>22</v>
      </c>
    </row>
    <row r="1699" spans="1:15" hidden="1">
      <c r="A1699" t="s">
        <v>15</v>
      </c>
      <c r="B1699" t="str">
        <f>"FES1162689660"</f>
        <v>FES1162689660</v>
      </c>
      <c r="C1699" s="9">
        <v>43599</v>
      </c>
      <c r="D1699">
        <v>1</v>
      </c>
      <c r="E1699">
        <v>2170688206</v>
      </c>
      <c r="F1699" t="s">
        <v>16</v>
      </c>
      <c r="G1699" t="s">
        <v>17</v>
      </c>
      <c r="H1699" t="s">
        <v>141</v>
      </c>
      <c r="I1699" t="s">
        <v>142</v>
      </c>
      <c r="J1699" t="s">
        <v>1568</v>
      </c>
      <c r="K1699" s="9">
        <v>43600</v>
      </c>
      <c r="L1699" s="10">
        <v>0.31944444444444448</v>
      </c>
      <c r="M1699" t="s">
        <v>2705</v>
      </c>
      <c r="N1699" t="s">
        <v>2706</v>
      </c>
      <c r="O1699" t="s">
        <v>22</v>
      </c>
    </row>
    <row r="1700" spans="1:15" hidden="1">
      <c r="A1700" t="s">
        <v>15</v>
      </c>
      <c r="B1700" t="str">
        <f>"FES1162689806"</f>
        <v>FES1162689806</v>
      </c>
      <c r="C1700" s="9">
        <v>43599</v>
      </c>
      <c r="D1700">
        <v>1</v>
      </c>
      <c r="E1700">
        <v>2170688297</v>
      </c>
      <c r="F1700" t="s">
        <v>16</v>
      </c>
      <c r="G1700" t="s">
        <v>17</v>
      </c>
      <c r="H1700" t="s">
        <v>37</v>
      </c>
      <c r="I1700" t="s">
        <v>38</v>
      </c>
      <c r="J1700" t="s">
        <v>1204</v>
      </c>
      <c r="K1700" s="9">
        <v>43600</v>
      </c>
      <c r="L1700" s="10">
        <v>0.41666666666666669</v>
      </c>
      <c r="M1700" t="s">
        <v>2707</v>
      </c>
      <c r="N1700" t="s">
        <v>2708</v>
      </c>
      <c r="O1700" t="s">
        <v>22</v>
      </c>
    </row>
    <row r="1701" spans="1:15" hidden="1">
      <c r="A1701" t="s">
        <v>15</v>
      </c>
      <c r="B1701" t="str">
        <f>"FES1162689711"</f>
        <v>FES1162689711</v>
      </c>
      <c r="C1701" s="9">
        <v>43599</v>
      </c>
      <c r="D1701">
        <v>1</v>
      </c>
      <c r="E1701">
        <v>2170686676</v>
      </c>
      <c r="F1701" t="s">
        <v>16</v>
      </c>
      <c r="G1701" t="s">
        <v>17</v>
      </c>
      <c r="H1701" t="s">
        <v>43</v>
      </c>
      <c r="I1701" t="s">
        <v>44</v>
      </c>
      <c r="J1701" t="s">
        <v>225</v>
      </c>
      <c r="K1701" s="9">
        <v>43600</v>
      </c>
      <c r="L1701" s="10">
        <v>0.3125</v>
      </c>
      <c r="M1701" t="s">
        <v>2709</v>
      </c>
      <c r="N1701" t="s">
        <v>2710</v>
      </c>
      <c r="O1701" t="s">
        <v>22</v>
      </c>
    </row>
    <row r="1702" spans="1:15" hidden="1">
      <c r="A1702" t="s">
        <v>15</v>
      </c>
      <c r="B1702" t="str">
        <f>"FES1162689645"</f>
        <v>FES1162689645</v>
      </c>
      <c r="C1702" s="9">
        <v>43599</v>
      </c>
      <c r="D1702">
        <v>1</v>
      </c>
      <c r="E1702">
        <v>2170686731</v>
      </c>
      <c r="F1702" t="s">
        <v>16</v>
      </c>
      <c r="G1702" t="s">
        <v>17</v>
      </c>
      <c r="H1702" t="s">
        <v>43</v>
      </c>
      <c r="I1702" t="s">
        <v>44</v>
      </c>
      <c r="J1702" t="s">
        <v>336</v>
      </c>
      <c r="K1702" s="9">
        <v>43600</v>
      </c>
      <c r="L1702" s="10">
        <v>0.35902777777777778</v>
      </c>
      <c r="M1702" t="s">
        <v>1502</v>
      </c>
      <c r="N1702" t="s">
        <v>2711</v>
      </c>
      <c r="O1702" t="s">
        <v>22</v>
      </c>
    </row>
    <row r="1703" spans="1:15" hidden="1">
      <c r="A1703" t="s">
        <v>15</v>
      </c>
      <c r="B1703" t="str">
        <f>"FES1162689718"</f>
        <v>FES1162689718</v>
      </c>
      <c r="C1703" s="9">
        <v>43599</v>
      </c>
      <c r="D1703">
        <v>1</v>
      </c>
      <c r="E1703">
        <v>2170686772</v>
      </c>
      <c r="F1703" t="s">
        <v>16</v>
      </c>
      <c r="G1703" t="s">
        <v>17</v>
      </c>
      <c r="H1703" t="s">
        <v>43</v>
      </c>
      <c r="I1703" t="s">
        <v>44</v>
      </c>
      <c r="J1703" t="s">
        <v>48</v>
      </c>
      <c r="K1703" s="9">
        <v>43600</v>
      </c>
      <c r="L1703" s="10">
        <v>0.34722222222222227</v>
      </c>
      <c r="M1703" t="s">
        <v>2712</v>
      </c>
      <c r="N1703" t="s">
        <v>2713</v>
      </c>
      <c r="O1703" t="s">
        <v>22</v>
      </c>
    </row>
    <row r="1704" spans="1:15" hidden="1">
      <c r="A1704" t="s">
        <v>15</v>
      </c>
      <c r="B1704" t="str">
        <f>"FES1162689569"</f>
        <v>FES1162689569</v>
      </c>
      <c r="C1704" s="9">
        <v>43599</v>
      </c>
      <c r="D1704">
        <v>1</v>
      </c>
      <c r="E1704">
        <v>2170679767</v>
      </c>
      <c r="F1704" t="s">
        <v>16</v>
      </c>
      <c r="G1704" t="s">
        <v>17</v>
      </c>
      <c r="H1704" t="s">
        <v>141</v>
      </c>
      <c r="I1704" t="s">
        <v>464</v>
      </c>
      <c r="J1704" t="s">
        <v>2369</v>
      </c>
      <c r="K1704" s="9">
        <v>43600</v>
      </c>
      <c r="L1704" s="10">
        <v>0.3888888888888889</v>
      </c>
      <c r="M1704" t="s">
        <v>2714</v>
      </c>
      <c r="N1704" t="s">
        <v>2715</v>
      </c>
      <c r="O1704" t="s">
        <v>22</v>
      </c>
    </row>
    <row r="1705" spans="1:15">
      <c r="A1705" s="6" t="s">
        <v>15</v>
      </c>
      <c r="B1705" s="6" t="str">
        <f>"FES1162689578"</f>
        <v>FES1162689578</v>
      </c>
      <c r="C1705" s="7">
        <v>43599</v>
      </c>
      <c r="D1705" s="6">
        <v>1</v>
      </c>
      <c r="E1705" s="6">
        <v>2170686831</v>
      </c>
      <c r="F1705" s="6" t="s">
        <v>16</v>
      </c>
      <c r="G1705" s="6" t="s">
        <v>17</v>
      </c>
      <c r="H1705" s="6" t="s">
        <v>17</v>
      </c>
      <c r="I1705" s="6" t="s">
        <v>64</v>
      </c>
      <c r="J1705" s="6" t="s">
        <v>513</v>
      </c>
      <c r="K1705" s="7">
        <v>43600</v>
      </c>
      <c r="L1705" s="8">
        <v>0.33333333333333331</v>
      </c>
      <c r="M1705" s="6" t="s">
        <v>1725</v>
      </c>
      <c r="N1705" s="6" t="s">
        <v>21</v>
      </c>
      <c r="O1705" s="6" t="s">
        <v>22</v>
      </c>
    </row>
    <row r="1706" spans="1:15" hidden="1">
      <c r="A1706" t="s">
        <v>15</v>
      </c>
      <c r="B1706" t="str">
        <f>"FES1162689677"</f>
        <v>FES1162689677</v>
      </c>
      <c r="C1706" s="9">
        <v>43599</v>
      </c>
      <c r="D1706">
        <v>1</v>
      </c>
      <c r="E1706">
        <v>2170686387</v>
      </c>
      <c r="F1706" t="s">
        <v>16</v>
      </c>
      <c r="G1706" t="s">
        <v>17</v>
      </c>
      <c r="H1706" t="s">
        <v>290</v>
      </c>
      <c r="I1706" t="s">
        <v>309</v>
      </c>
      <c r="J1706" t="s">
        <v>310</v>
      </c>
      <c r="K1706" s="9">
        <v>43600</v>
      </c>
      <c r="L1706" s="10">
        <v>0.3576388888888889</v>
      </c>
      <c r="M1706" t="s">
        <v>311</v>
      </c>
      <c r="N1706" t="s">
        <v>2716</v>
      </c>
      <c r="O1706" t="s">
        <v>22</v>
      </c>
    </row>
    <row r="1707" spans="1:15" hidden="1">
      <c r="A1707" t="s">
        <v>15</v>
      </c>
      <c r="B1707" t="str">
        <f>"FES1162689738"</f>
        <v>FES1162689738</v>
      </c>
      <c r="C1707" s="9">
        <v>43599</v>
      </c>
      <c r="D1707">
        <v>1</v>
      </c>
      <c r="E1707">
        <v>2170688221</v>
      </c>
      <c r="F1707" t="s">
        <v>16</v>
      </c>
      <c r="G1707" t="s">
        <v>17</v>
      </c>
      <c r="H1707" t="s">
        <v>290</v>
      </c>
      <c r="I1707" t="s">
        <v>291</v>
      </c>
      <c r="J1707" t="s">
        <v>297</v>
      </c>
      <c r="K1707" s="9">
        <v>43600</v>
      </c>
      <c r="L1707" s="10">
        <v>0.34861111111111115</v>
      </c>
      <c r="M1707" t="s">
        <v>298</v>
      </c>
      <c r="N1707" t="s">
        <v>2717</v>
      </c>
      <c r="O1707" t="s">
        <v>22</v>
      </c>
    </row>
    <row r="1708" spans="1:15" hidden="1">
      <c r="A1708" t="s">
        <v>15</v>
      </c>
      <c r="B1708" t="str">
        <f>"FES1162689583"</f>
        <v>FES1162689583</v>
      </c>
      <c r="C1708" s="9">
        <v>43599</v>
      </c>
      <c r="D1708">
        <v>1</v>
      </c>
      <c r="E1708">
        <v>2170687182</v>
      </c>
      <c r="F1708" t="s">
        <v>16</v>
      </c>
      <c r="G1708" t="s">
        <v>17</v>
      </c>
      <c r="H1708" t="s">
        <v>290</v>
      </c>
      <c r="I1708" t="s">
        <v>291</v>
      </c>
      <c r="J1708" t="s">
        <v>1744</v>
      </c>
      <c r="K1708" s="9">
        <v>43600</v>
      </c>
      <c r="L1708" s="10">
        <v>0.34027777777777773</v>
      </c>
      <c r="M1708" t="s">
        <v>2556</v>
      </c>
      <c r="N1708" t="s">
        <v>2718</v>
      </c>
      <c r="O1708" t="s">
        <v>22</v>
      </c>
    </row>
    <row r="1709" spans="1:15" hidden="1">
      <c r="A1709" t="s">
        <v>15</v>
      </c>
      <c r="B1709" t="str">
        <f>"FES1162689593"</f>
        <v>FES1162689593</v>
      </c>
      <c r="C1709" s="9">
        <v>43599</v>
      </c>
      <c r="D1709">
        <v>1</v>
      </c>
      <c r="E1709">
        <v>2170687816</v>
      </c>
      <c r="F1709" t="s">
        <v>16</v>
      </c>
      <c r="G1709" t="s">
        <v>17</v>
      </c>
      <c r="H1709" t="s">
        <v>141</v>
      </c>
      <c r="I1709" t="s">
        <v>142</v>
      </c>
      <c r="J1709" t="s">
        <v>2719</v>
      </c>
      <c r="K1709" s="9">
        <v>43600</v>
      </c>
      <c r="L1709" s="10">
        <v>0.4368055555555555</v>
      </c>
      <c r="M1709" t="s">
        <v>2720</v>
      </c>
      <c r="N1709" t="s">
        <v>2721</v>
      </c>
      <c r="O1709" t="s">
        <v>22</v>
      </c>
    </row>
    <row r="1710" spans="1:15" hidden="1">
      <c r="A1710" t="s">
        <v>15</v>
      </c>
      <c r="B1710" t="str">
        <f>"FES1162689595"</f>
        <v>FES1162689595</v>
      </c>
      <c r="C1710" s="9">
        <v>43599</v>
      </c>
      <c r="D1710">
        <v>1</v>
      </c>
      <c r="E1710">
        <v>2170687884</v>
      </c>
      <c r="F1710" t="s">
        <v>16</v>
      </c>
      <c r="G1710" t="s">
        <v>17</v>
      </c>
      <c r="H1710" t="s">
        <v>141</v>
      </c>
      <c r="I1710" t="s">
        <v>433</v>
      </c>
      <c r="J1710" t="s">
        <v>2722</v>
      </c>
      <c r="K1710" s="9">
        <v>43600</v>
      </c>
      <c r="L1710" s="10">
        <v>0.3576388888888889</v>
      </c>
      <c r="M1710" t="s">
        <v>2723</v>
      </c>
      <c r="N1710" t="s">
        <v>2724</v>
      </c>
      <c r="O1710" t="s">
        <v>22</v>
      </c>
    </row>
    <row r="1711" spans="1:15" hidden="1">
      <c r="A1711" t="s">
        <v>15</v>
      </c>
      <c r="B1711" t="str">
        <f>"FES1162689619"</f>
        <v>FES1162689619</v>
      </c>
      <c r="C1711" s="9">
        <v>43599</v>
      </c>
      <c r="D1711">
        <v>1</v>
      </c>
      <c r="E1711">
        <v>2170688163</v>
      </c>
      <c r="F1711" t="s">
        <v>16</v>
      </c>
      <c r="G1711" t="s">
        <v>17</v>
      </c>
      <c r="H1711" t="s">
        <v>141</v>
      </c>
      <c r="I1711" t="s">
        <v>142</v>
      </c>
      <c r="J1711" t="s">
        <v>143</v>
      </c>
      <c r="K1711" s="9">
        <v>43600</v>
      </c>
      <c r="L1711" s="10">
        <v>0.42986111111111108</v>
      </c>
      <c r="M1711" t="s">
        <v>903</v>
      </c>
      <c r="N1711" t="s">
        <v>2725</v>
      </c>
      <c r="O1711" t="s">
        <v>22</v>
      </c>
    </row>
    <row r="1712" spans="1:15" hidden="1">
      <c r="A1712" t="s">
        <v>15</v>
      </c>
      <c r="B1712" t="str">
        <f>"FES1162689702"</f>
        <v>FES1162689702</v>
      </c>
      <c r="C1712" s="9">
        <v>43599</v>
      </c>
      <c r="D1712">
        <v>1</v>
      </c>
      <c r="E1712">
        <v>2170686604</v>
      </c>
      <c r="F1712" t="s">
        <v>16</v>
      </c>
      <c r="G1712" t="s">
        <v>17</v>
      </c>
      <c r="H1712" t="s">
        <v>290</v>
      </c>
      <c r="I1712" t="s">
        <v>309</v>
      </c>
      <c r="J1712" t="s">
        <v>717</v>
      </c>
      <c r="K1712" s="9">
        <v>43600</v>
      </c>
      <c r="L1712" s="10">
        <v>0.41666666666666669</v>
      </c>
      <c r="M1712" t="s">
        <v>2726</v>
      </c>
      <c r="N1712" t="s">
        <v>2727</v>
      </c>
      <c r="O1712" t="s">
        <v>22</v>
      </c>
    </row>
    <row r="1713" spans="1:15" hidden="1">
      <c r="A1713" t="s">
        <v>15</v>
      </c>
      <c r="B1713" t="str">
        <f>"FES1162689656"</f>
        <v>FES1162689656</v>
      </c>
      <c r="C1713" s="9">
        <v>43599</v>
      </c>
      <c r="D1713">
        <v>1</v>
      </c>
      <c r="E1713">
        <v>2170688201</v>
      </c>
      <c r="F1713" t="s">
        <v>16</v>
      </c>
      <c r="G1713" t="s">
        <v>17</v>
      </c>
      <c r="H1713" t="s">
        <v>300</v>
      </c>
      <c r="I1713" t="s">
        <v>1553</v>
      </c>
      <c r="J1713" t="s">
        <v>1554</v>
      </c>
      <c r="K1713" s="9">
        <v>43600</v>
      </c>
      <c r="L1713" s="10">
        <v>0.33333333333333331</v>
      </c>
      <c r="M1713" t="s">
        <v>2728</v>
      </c>
      <c r="N1713" t="s">
        <v>2729</v>
      </c>
      <c r="O1713" t="s">
        <v>22</v>
      </c>
    </row>
    <row r="1714" spans="1:15" hidden="1">
      <c r="A1714" t="s">
        <v>15</v>
      </c>
      <c r="B1714" t="str">
        <f>"FES1162689706"</f>
        <v>FES1162689706</v>
      </c>
      <c r="C1714" s="9">
        <v>43599</v>
      </c>
      <c r="D1714">
        <v>1</v>
      </c>
      <c r="E1714">
        <v>2176877299</v>
      </c>
      <c r="F1714" t="s">
        <v>16</v>
      </c>
      <c r="G1714" t="s">
        <v>17</v>
      </c>
      <c r="H1714" t="s">
        <v>290</v>
      </c>
      <c r="I1714" t="s">
        <v>291</v>
      </c>
      <c r="J1714" t="s">
        <v>671</v>
      </c>
      <c r="K1714" s="9">
        <v>43600</v>
      </c>
      <c r="L1714" s="10">
        <v>0.38541666666666669</v>
      </c>
      <c r="M1714" t="s">
        <v>56</v>
      </c>
      <c r="N1714" t="s">
        <v>2730</v>
      </c>
      <c r="O1714" t="s">
        <v>22</v>
      </c>
    </row>
    <row r="1715" spans="1:15" hidden="1">
      <c r="A1715" t="s">
        <v>15</v>
      </c>
      <c r="B1715" t="str">
        <f>"FES1162689611"</f>
        <v>FES1162689611</v>
      </c>
      <c r="C1715" s="9">
        <v>43599</v>
      </c>
      <c r="D1715">
        <v>1</v>
      </c>
      <c r="E1715">
        <v>2170688151</v>
      </c>
      <c r="F1715" t="s">
        <v>16</v>
      </c>
      <c r="G1715" t="s">
        <v>17</v>
      </c>
      <c r="H1715" t="s">
        <v>290</v>
      </c>
      <c r="I1715" t="s">
        <v>291</v>
      </c>
      <c r="J1715" t="s">
        <v>2731</v>
      </c>
      <c r="K1715" s="9">
        <v>43600</v>
      </c>
      <c r="L1715" s="10">
        <v>0.40972222222222227</v>
      </c>
      <c r="M1715" t="s">
        <v>2732</v>
      </c>
      <c r="N1715" t="s">
        <v>2733</v>
      </c>
      <c r="O1715" t="s">
        <v>22</v>
      </c>
    </row>
    <row r="1716" spans="1:15" hidden="1">
      <c r="A1716" t="s">
        <v>15</v>
      </c>
      <c r="B1716" t="str">
        <f>"FES1162689678"</f>
        <v>FES1162689678</v>
      </c>
      <c r="C1716" s="9">
        <v>43599</v>
      </c>
      <c r="D1716">
        <v>1</v>
      </c>
      <c r="E1716">
        <v>2170686391</v>
      </c>
      <c r="F1716" t="s">
        <v>16</v>
      </c>
      <c r="G1716" t="s">
        <v>17</v>
      </c>
      <c r="H1716" t="s">
        <v>290</v>
      </c>
      <c r="I1716" t="s">
        <v>291</v>
      </c>
      <c r="J1716" t="s">
        <v>966</v>
      </c>
      <c r="K1716" s="9">
        <v>43600</v>
      </c>
      <c r="L1716" s="10">
        <v>0.38263888888888892</v>
      </c>
      <c r="M1716" t="s">
        <v>2734</v>
      </c>
      <c r="N1716" t="s">
        <v>2735</v>
      </c>
      <c r="O1716" t="s">
        <v>22</v>
      </c>
    </row>
    <row r="1717" spans="1:15" hidden="1">
      <c r="A1717" t="s">
        <v>15</v>
      </c>
      <c r="B1717" t="str">
        <f>"FES1162689777"</f>
        <v>FES1162689777</v>
      </c>
      <c r="C1717" s="9">
        <v>43599</v>
      </c>
      <c r="D1717">
        <v>1</v>
      </c>
      <c r="E1717">
        <v>2170688266</v>
      </c>
      <c r="F1717" t="s">
        <v>16</v>
      </c>
      <c r="G1717" t="s">
        <v>17</v>
      </c>
      <c r="H1717" t="s">
        <v>290</v>
      </c>
      <c r="I1717" t="s">
        <v>291</v>
      </c>
      <c r="J1717" t="s">
        <v>1907</v>
      </c>
      <c r="K1717" s="9">
        <v>43600</v>
      </c>
      <c r="L1717" s="10">
        <v>0.31597222222222221</v>
      </c>
      <c r="M1717" t="s">
        <v>2736</v>
      </c>
      <c r="N1717" t="s">
        <v>2737</v>
      </c>
      <c r="O1717" t="s">
        <v>22</v>
      </c>
    </row>
    <row r="1718" spans="1:15" hidden="1">
      <c r="A1718" t="s">
        <v>15</v>
      </c>
      <c r="B1718" t="str">
        <f>"FES1162689728"</f>
        <v>FES1162689728</v>
      </c>
      <c r="C1718" s="9">
        <v>43599</v>
      </c>
      <c r="D1718">
        <v>1</v>
      </c>
      <c r="E1718">
        <v>2170687815</v>
      </c>
      <c r="F1718" t="s">
        <v>16</v>
      </c>
      <c r="G1718" t="s">
        <v>17</v>
      </c>
      <c r="H1718" t="s">
        <v>290</v>
      </c>
      <c r="I1718" t="s">
        <v>291</v>
      </c>
      <c r="J1718" t="s">
        <v>2738</v>
      </c>
      <c r="K1718" s="9">
        <v>43600</v>
      </c>
      <c r="L1718" s="10">
        <v>0.3888888888888889</v>
      </c>
      <c r="M1718" t="s">
        <v>2739</v>
      </c>
      <c r="N1718" t="s">
        <v>2740</v>
      </c>
      <c r="O1718" t="s">
        <v>22</v>
      </c>
    </row>
    <row r="1719" spans="1:15" hidden="1">
      <c r="A1719" t="s">
        <v>15</v>
      </c>
      <c r="B1719" t="str">
        <f>"FES1162689723"</f>
        <v>FES1162689723</v>
      </c>
      <c r="C1719" s="9">
        <v>43599</v>
      </c>
      <c r="D1719">
        <v>1</v>
      </c>
      <c r="E1719">
        <v>2170686982</v>
      </c>
      <c r="F1719" t="s">
        <v>16</v>
      </c>
      <c r="G1719" t="s">
        <v>17</v>
      </c>
      <c r="H1719" t="s">
        <v>290</v>
      </c>
      <c r="I1719" t="s">
        <v>291</v>
      </c>
      <c r="J1719" t="s">
        <v>2738</v>
      </c>
      <c r="K1719" s="9">
        <v>43600</v>
      </c>
      <c r="L1719" s="10">
        <v>0.3888888888888889</v>
      </c>
      <c r="M1719" t="s">
        <v>2739</v>
      </c>
      <c r="N1719" t="s">
        <v>2741</v>
      </c>
      <c r="O1719" t="s">
        <v>22</v>
      </c>
    </row>
    <row r="1720" spans="1:15" hidden="1">
      <c r="A1720" t="s">
        <v>15</v>
      </c>
      <c r="B1720" t="str">
        <f>"FES1162689751"</f>
        <v>FES1162689751</v>
      </c>
      <c r="C1720" s="9">
        <v>43599</v>
      </c>
      <c r="D1720">
        <v>1</v>
      </c>
      <c r="E1720">
        <v>2170688233</v>
      </c>
      <c r="F1720" t="s">
        <v>16</v>
      </c>
      <c r="G1720" t="s">
        <v>17</v>
      </c>
      <c r="H1720" t="s">
        <v>290</v>
      </c>
      <c r="I1720" t="s">
        <v>291</v>
      </c>
      <c r="J1720" t="s">
        <v>1925</v>
      </c>
      <c r="K1720" s="9">
        <v>43600</v>
      </c>
      <c r="L1720" s="10">
        <v>0.37152777777777773</v>
      </c>
      <c r="M1720" t="s">
        <v>2742</v>
      </c>
      <c r="N1720" t="s">
        <v>2743</v>
      </c>
      <c r="O1720" t="s">
        <v>22</v>
      </c>
    </row>
    <row r="1721" spans="1:15" hidden="1">
      <c r="A1721" t="s">
        <v>15</v>
      </c>
      <c r="B1721" t="str">
        <f>"FES1162689669"</f>
        <v>FES1162689669</v>
      </c>
      <c r="C1721" s="9">
        <v>43599</v>
      </c>
      <c r="D1721">
        <v>1</v>
      </c>
      <c r="E1721">
        <v>2170685584</v>
      </c>
      <c r="F1721" t="s">
        <v>16</v>
      </c>
      <c r="G1721" t="s">
        <v>17</v>
      </c>
      <c r="H1721" t="s">
        <v>290</v>
      </c>
      <c r="I1721" t="s">
        <v>291</v>
      </c>
      <c r="J1721" t="s">
        <v>2738</v>
      </c>
      <c r="K1721" s="9">
        <v>43600</v>
      </c>
      <c r="L1721" s="10">
        <v>0.3888888888888889</v>
      </c>
      <c r="M1721" t="s">
        <v>2739</v>
      </c>
      <c r="N1721" t="s">
        <v>2744</v>
      </c>
      <c r="O1721" t="s">
        <v>22</v>
      </c>
    </row>
    <row r="1722" spans="1:15" hidden="1">
      <c r="A1722" t="s">
        <v>15</v>
      </c>
      <c r="B1722" t="str">
        <f>"FES1162689625"</f>
        <v>FES1162689625</v>
      </c>
      <c r="C1722" s="9">
        <v>43599</v>
      </c>
      <c r="D1722">
        <v>1</v>
      </c>
      <c r="E1722">
        <v>2170688172</v>
      </c>
      <c r="F1722" t="s">
        <v>16</v>
      </c>
      <c r="G1722" t="s">
        <v>17</v>
      </c>
      <c r="H1722" t="s">
        <v>37</v>
      </c>
      <c r="I1722" t="s">
        <v>38</v>
      </c>
      <c r="J1722" t="s">
        <v>2655</v>
      </c>
      <c r="K1722" s="9">
        <v>43600</v>
      </c>
      <c r="L1722" s="10">
        <v>0.38541666666666669</v>
      </c>
      <c r="M1722" t="s">
        <v>542</v>
      </c>
      <c r="N1722" t="s">
        <v>2745</v>
      </c>
      <c r="O1722" t="s">
        <v>22</v>
      </c>
    </row>
    <row r="1723" spans="1:15" hidden="1">
      <c r="A1723" t="s">
        <v>15</v>
      </c>
      <c r="B1723" t="str">
        <f>"FES1162689661"</f>
        <v>FES1162689661</v>
      </c>
      <c r="C1723" s="9">
        <v>43599</v>
      </c>
      <c r="D1723">
        <v>1</v>
      </c>
      <c r="E1723">
        <v>2170688208</v>
      </c>
      <c r="F1723" t="s">
        <v>16</v>
      </c>
      <c r="G1723" t="s">
        <v>17</v>
      </c>
      <c r="H1723" t="s">
        <v>32</v>
      </c>
      <c r="I1723" t="s">
        <v>33</v>
      </c>
      <c r="J1723" t="s">
        <v>365</v>
      </c>
      <c r="K1723" s="9">
        <v>43600</v>
      </c>
      <c r="L1723" s="10">
        <v>0.4201388888888889</v>
      </c>
      <c r="M1723" t="s">
        <v>2444</v>
      </c>
      <c r="N1723" t="s">
        <v>2746</v>
      </c>
      <c r="O1723" t="s">
        <v>22</v>
      </c>
    </row>
    <row r="1724" spans="1:15" hidden="1">
      <c r="A1724" t="s">
        <v>15</v>
      </c>
      <c r="B1724" t="str">
        <f>"FES1162689742"</f>
        <v>FES1162689742</v>
      </c>
      <c r="C1724" s="9">
        <v>43599</v>
      </c>
      <c r="D1724">
        <v>1</v>
      </c>
      <c r="E1724">
        <v>2170688224</v>
      </c>
      <c r="F1724" t="s">
        <v>16</v>
      </c>
      <c r="G1724" t="s">
        <v>17</v>
      </c>
      <c r="H1724" t="s">
        <v>132</v>
      </c>
      <c r="I1724" t="s">
        <v>838</v>
      </c>
      <c r="J1724" t="s">
        <v>839</v>
      </c>
      <c r="K1724" s="9">
        <v>43600</v>
      </c>
      <c r="L1724" s="10">
        <v>0.47916666666666669</v>
      </c>
      <c r="M1724" t="s">
        <v>2747</v>
      </c>
      <c r="N1724" t="s">
        <v>2748</v>
      </c>
      <c r="O1724" t="s">
        <v>22</v>
      </c>
    </row>
    <row r="1725" spans="1:15" hidden="1">
      <c r="A1725" t="s">
        <v>15</v>
      </c>
      <c r="B1725" t="str">
        <f>"FES1162689591"</f>
        <v>FES1162689591</v>
      </c>
      <c r="C1725" s="9">
        <v>43599</v>
      </c>
      <c r="D1725">
        <v>1</v>
      </c>
      <c r="E1725">
        <v>2170687762</v>
      </c>
      <c r="F1725" t="s">
        <v>16</v>
      </c>
      <c r="G1725" t="s">
        <v>17</v>
      </c>
      <c r="H1725" t="s">
        <v>32</v>
      </c>
      <c r="I1725" t="s">
        <v>342</v>
      </c>
      <c r="J1725" t="s">
        <v>343</v>
      </c>
      <c r="K1725" s="9">
        <v>43600</v>
      </c>
      <c r="L1725" s="10">
        <v>0.41250000000000003</v>
      </c>
      <c r="M1725" t="s">
        <v>2749</v>
      </c>
      <c r="N1725" t="s">
        <v>2750</v>
      </c>
      <c r="O1725" t="s">
        <v>22</v>
      </c>
    </row>
    <row r="1726" spans="1:15" hidden="1">
      <c r="A1726" t="s">
        <v>15</v>
      </c>
      <c r="B1726" t="str">
        <f>"FES1162689676"</f>
        <v>FES1162689676</v>
      </c>
      <c r="C1726" s="9">
        <v>43599</v>
      </c>
      <c r="D1726">
        <v>1</v>
      </c>
      <c r="E1726">
        <v>2170686379</v>
      </c>
      <c r="F1726" t="s">
        <v>16</v>
      </c>
      <c r="G1726" t="s">
        <v>17</v>
      </c>
      <c r="H1726" t="s">
        <v>141</v>
      </c>
      <c r="I1726" t="s">
        <v>898</v>
      </c>
      <c r="J1726" t="s">
        <v>899</v>
      </c>
      <c r="K1726" s="9">
        <v>43600</v>
      </c>
      <c r="L1726" s="10">
        <v>0.4375</v>
      </c>
      <c r="M1726" t="s">
        <v>2751</v>
      </c>
      <c r="N1726" t="s">
        <v>2752</v>
      </c>
      <c r="O1726" t="s">
        <v>22</v>
      </c>
    </row>
    <row r="1727" spans="1:15" hidden="1">
      <c r="A1727" t="s">
        <v>15</v>
      </c>
      <c r="B1727" t="str">
        <f>"FES1162689692"</f>
        <v>FES1162689692</v>
      </c>
      <c r="C1727" s="9">
        <v>43599</v>
      </c>
      <c r="D1727">
        <v>1</v>
      </c>
      <c r="E1727">
        <v>2170686527</v>
      </c>
      <c r="F1727" t="s">
        <v>16</v>
      </c>
      <c r="G1727" t="s">
        <v>17</v>
      </c>
      <c r="H1727" t="s">
        <v>37</v>
      </c>
      <c r="I1727" t="s">
        <v>38</v>
      </c>
      <c r="J1727" t="s">
        <v>349</v>
      </c>
      <c r="K1727" s="9">
        <v>43600</v>
      </c>
      <c r="L1727" s="10">
        <v>0.39583333333333331</v>
      </c>
      <c r="M1727" t="s">
        <v>2753</v>
      </c>
      <c r="N1727" t="s">
        <v>2754</v>
      </c>
      <c r="O1727" t="s">
        <v>22</v>
      </c>
    </row>
    <row r="1728" spans="1:15" hidden="1">
      <c r="A1728" t="s">
        <v>15</v>
      </c>
      <c r="B1728" t="str">
        <f>"FES1162689584"</f>
        <v>FES1162689584</v>
      </c>
      <c r="C1728" s="9">
        <v>43599</v>
      </c>
      <c r="D1728">
        <v>1</v>
      </c>
      <c r="E1728">
        <v>2170687203</v>
      </c>
      <c r="F1728" t="s">
        <v>16</v>
      </c>
      <c r="G1728" t="s">
        <v>17</v>
      </c>
      <c r="H1728" t="s">
        <v>32</v>
      </c>
      <c r="I1728" t="s">
        <v>33</v>
      </c>
      <c r="J1728" t="s">
        <v>1657</v>
      </c>
      <c r="K1728" s="9">
        <v>43600</v>
      </c>
      <c r="L1728" s="10">
        <v>0.4236111111111111</v>
      </c>
      <c r="M1728" t="s">
        <v>2755</v>
      </c>
      <c r="N1728" t="s">
        <v>2756</v>
      </c>
      <c r="O1728" t="s">
        <v>22</v>
      </c>
    </row>
    <row r="1729" spans="1:15" hidden="1">
      <c r="A1729" t="s">
        <v>15</v>
      </c>
      <c r="B1729" t="str">
        <f>"FES1162689636"</f>
        <v>FES1162689636</v>
      </c>
      <c r="C1729" s="9">
        <v>43599</v>
      </c>
      <c r="D1729">
        <v>1</v>
      </c>
      <c r="E1729">
        <v>2170688185</v>
      </c>
      <c r="F1729" t="s">
        <v>16</v>
      </c>
      <c r="G1729" t="s">
        <v>17</v>
      </c>
      <c r="H1729" t="s">
        <v>37</v>
      </c>
      <c r="I1729" t="s">
        <v>38</v>
      </c>
      <c r="J1729" t="s">
        <v>2655</v>
      </c>
      <c r="K1729" s="9">
        <v>43600</v>
      </c>
      <c r="L1729" s="10">
        <v>0.38541666666666669</v>
      </c>
      <c r="M1729" t="s">
        <v>542</v>
      </c>
      <c r="N1729" t="s">
        <v>2757</v>
      </c>
      <c r="O1729" t="s">
        <v>22</v>
      </c>
    </row>
    <row r="1730" spans="1:15" hidden="1">
      <c r="A1730" t="s">
        <v>15</v>
      </c>
      <c r="B1730" t="str">
        <f>"FES1162689650"</f>
        <v>FES1162689650</v>
      </c>
      <c r="C1730" s="9">
        <v>43599</v>
      </c>
      <c r="D1730">
        <v>1</v>
      </c>
      <c r="E1730">
        <v>2170688194</v>
      </c>
      <c r="F1730" t="s">
        <v>16</v>
      </c>
      <c r="G1730" t="s">
        <v>17</v>
      </c>
      <c r="H1730" t="s">
        <v>141</v>
      </c>
      <c r="I1730" t="s">
        <v>1921</v>
      </c>
      <c r="J1730" t="s">
        <v>1922</v>
      </c>
      <c r="K1730" s="9">
        <v>43600</v>
      </c>
      <c r="L1730" s="10">
        <v>0.37152777777777773</v>
      </c>
      <c r="M1730" t="s">
        <v>1923</v>
      </c>
      <c r="N1730" t="s">
        <v>2758</v>
      </c>
      <c r="O1730" t="s">
        <v>22</v>
      </c>
    </row>
    <row r="1731" spans="1:15" hidden="1">
      <c r="A1731" t="s">
        <v>15</v>
      </c>
      <c r="B1731" t="str">
        <f>"FES1162689576"</f>
        <v>FES1162689576</v>
      </c>
      <c r="C1731" s="9">
        <v>43599</v>
      </c>
      <c r="D1731">
        <v>1</v>
      </c>
      <c r="E1731">
        <v>2170686696</v>
      </c>
      <c r="F1731" t="s">
        <v>16</v>
      </c>
      <c r="G1731" t="s">
        <v>17</v>
      </c>
      <c r="H1731" t="s">
        <v>32</v>
      </c>
      <c r="I1731" t="s">
        <v>33</v>
      </c>
      <c r="J1731" t="s">
        <v>34</v>
      </c>
      <c r="K1731" s="9">
        <v>43600</v>
      </c>
      <c r="L1731" s="10">
        <v>0.40625</v>
      </c>
      <c r="M1731" t="s">
        <v>35</v>
      </c>
      <c r="N1731" t="s">
        <v>2759</v>
      </c>
      <c r="O1731" t="s">
        <v>22</v>
      </c>
    </row>
    <row r="1732" spans="1:15" hidden="1">
      <c r="A1732" t="s">
        <v>15</v>
      </c>
      <c r="B1732" t="str">
        <f>"FES1162689666"</f>
        <v>FES1162689666</v>
      </c>
      <c r="C1732" s="9">
        <v>43599</v>
      </c>
      <c r="D1732">
        <v>1</v>
      </c>
      <c r="E1732">
        <v>2170680648</v>
      </c>
      <c r="F1732" t="s">
        <v>16</v>
      </c>
      <c r="G1732" t="s">
        <v>17</v>
      </c>
      <c r="H1732" t="s">
        <v>141</v>
      </c>
      <c r="I1732" t="s">
        <v>185</v>
      </c>
      <c r="J1732" t="s">
        <v>917</v>
      </c>
      <c r="K1732" s="9">
        <v>43600</v>
      </c>
      <c r="L1732" s="10">
        <v>0.33333333333333331</v>
      </c>
      <c r="M1732" t="s">
        <v>2689</v>
      </c>
      <c r="N1732" t="s">
        <v>2760</v>
      </c>
      <c r="O1732" t="s">
        <v>22</v>
      </c>
    </row>
    <row r="1733" spans="1:15" hidden="1">
      <c r="A1733" t="s">
        <v>15</v>
      </c>
      <c r="B1733" t="str">
        <f>"FES1162689736"</f>
        <v>FES1162689736</v>
      </c>
      <c r="C1733" s="9">
        <v>43599</v>
      </c>
      <c r="D1733">
        <v>1</v>
      </c>
      <c r="E1733">
        <v>2170688216</v>
      </c>
      <c r="F1733" t="s">
        <v>16</v>
      </c>
      <c r="G1733" t="s">
        <v>17</v>
      </c>
      <c r="H1733" t="s">
        <v>290</v>
      </c>
      <c r="I1733" t="s">
        <v>291</v>
      </c>
      <c r="J1733" t="s">
        <v>671</v>
      </c>
      <c r="K1733" s="9">
        <v>43600</v>
      </c>
      <c r="L1733" s="10">
        <v>0.38541666666666669</v>
      </c>
      <c r="M1733" t="s">
        <v>56</v>
      </c>
      <c r="N1733" t="s">
        <v>2761</v>
      </c>
      <c r="O1733" t="s">
        <v>22</v>
      </c>
    </row>
    <row r="1734" spans="1:15" hidden="1">
      <c r="A1734" t="s">
        <v>15</v>
      </c>
      <c r="B1734" t="str">
        <f>"FES1162689665"</f>
        <v>FES1162689665</v>
      </c>
      <c r="C1734" s="9">
        <v>43599</v>
      </c>
      <c r="D1734">
        <v>1</v>
      </c>
      <c r="E1734">
        <v>2170684805</v>
      </c>
      <c r="F1734" t="s">
        <v>16</v>
      </c>
      <c r="G1734" t="s">
        <v>17</v>
      </c>
      <c r="H1734" t="s">
        <v>290</v>
      </c>
      <c r="I1734" t="s">
        <v>291</v>
      </c>
      <c r="J1734" t="s">
        <v>671</v>
      </c>
      <c r="K1734" s="9">
        <v>43600</v>
      </c>
      <c r="L1734" s="10">
        <v>0.41736111111111113</v>
      </c>
      <c r="M1734" t="s">
        <v>2762</v>
      </c>
      <c r="N1734" t="s">
        <v>2763</v>
      </c>
      <c r="O1734" t="s">
        <v>22</v>
      </c>
    </row>
    <row r="1735" spans="1:15" hidden="1">
      <c r="A1735" t="s">
        <v>15</v>
      </c>
      <c r="B1735" t="str">
        <f>"FES1162689586"</f>
        <v>FES1162689586</v>
      </c>
      <c r="C1735" s="9">
        <v>43599</v>
      </c>
      <c r="D1735">
        <v>1</v>
      </c>
      <c r="E1735">
        <v>2170687294</v>
      </c>
      <c r="F1735" t="s">
        <v>16</v>
      </c>
      <c r="G1735" t="s">
        <v>17</v>
      </c>
      <c r="H1735" t="s">
        <v>290</v>
      </c>
      <c r="I1735" t="s">
        <v>291</v>
      </c>
      <c r="J1735" t="s">
        <v>1187</v>
      </c>
      <c r="K1735" s="9">
        <v>43600</v>
      </c>
      <c r="L1735" s="10">
        <v>0.40972222222222227</v>
      </c>
      <c r="M1735" t="s">
        <v>2560</v>
      </c>
      <c r="N1735" t="s">
        <v>2764</v>
      </c>
      <c r="O1735" t="s">
        <v>22</v>
      </c>
    </row>
    <row r="1736" spans="1:15" hidden="1">
      <c r="A1736" t="s">
        <v>15</v>
      </c>
      <c r="B1736" t="str">
        <f>"FES1162686982"</f>
        <v>FES1162686982</v>
      </c>
      <c r="C1736" s="9">
        <v>43599</v>
      </c>
      <c r="D1736">
        <v>1</v>
      </c>
      <c r="E1736">
        <v>2170685361</v>
      </c>
      <c r="F1736" t="s">
        <v>16</v>
      </c>
      <c r="G1736" t="s">
        <v>17</v>
      </c>
      <c r="H1736" t="s">
        <v>59</v>
      </c>
      <c r="I1736" t="s">
        <v>18</v>
      </c>
      <c r="J1736" t="s">
        <v>19</v>
      </c>
      <c r="K1736" s="9">
        <v>43600</v>
      </c>
      <c r="L1736" s="10">
        <v>0.41666666666666669</v>
      </c>
      <c r="M1736" t="s">
        <v>1327</v>
      </c>
      <c r="N1736" t="s">
        <v>2765</v>
      </c>
      <c r="O1736" t="s">
        <v>22</v>
      </c>
    </row>
    <row r="1737" spans="1:15" hidden="1">
      <c r="A1737" t="s">
        <v>15</v>
      </c>
      <c r="B1737" t="str">
        <f>"FES1162689780"</f>
        <v>FES1162689780</v>
      </c>
      <c r="C1737" s="9">
        <v>43599</v>
      </c>
      <c r="D1737">
        <v>1</v>
      </c>
      <c r="E1737">
        <v>2170688272</v>
      </c>
      <c r="F1737" t="s">
        <v>16</v>
      </c>
      <c r="G1737" t="s">
        <v>17</v>
      </c>
      <c r="H1737" t="s">
        <v>290</v>
      </c>
      <c r="I1737" t="s">
        <v>291</v>
      </c>
      <c r="J1737" t="s">
        <v>2766</v>
      </c>
      <c r="K1737" s="9">
        <v>43600</v>
      </c>
      <c r="L1737" s="10">
        <v>0.39166666666666666</v>
      </c>
      <c r="M1737" t="s">
        <v>2767</v>
      </c>
      <c r="N1737" t="s">
        <v>2768</v>
      </c>
      <c r="O1737" t="s">
        <v>22</v>
      </c>
    </row>
    <row r="1738" spans="1:15">
      <c r="A1738" s="6" t="s">
        <v>15</v>
      </c>
      <c r="B1738" s="6" t="str">
        <f>"FES1162689633"</f>
        <v>FES1162689633</v>
      </c>
      <c r="C1738" s="7">
        <v>43599</v>
      </c>
      <c r="D1738" s="6">
        <v>1</v>
      </c>
      <c r="E1738" s="6">
        <v>2170688182</v>
      </c>
      <c r="F1738" s="6" t="s">
        <v>16</v>
      </c>
      <c r="G1738" s="6" t="s">
        <v>17</v>
      </c>
      <c r="H1738" s="6" t="s">
        <v>17</v>
      </c>
      <c r="I1738" s="6" t="s">
        <v>23</v>
      </c>
      <c r="J1738" s="6" t="s">
        <v>2367</v>
      </c>
      <c r="K1738" s="7">
        <v>43600</v>
      </c>
      <c r="L1738" s="8">
        <v>0.33333333333333331</v>
      </c>
      <c r="M1738" s="6" t="s">
        <v>100</v>
      </c>
      <c r="N1738" s="6" t="s">
        <v>21</v>
      </c>
      <c r="O1738" s="6" t="s">
        <v>22</v>
      </c>
    </row>
    <row r="1739" spans="1:15">
      <c r="A1739" s="6" t="s">
        <v>15</v>
      </c>
      <c r="B1739" s="6" t="str">
        <f>"FES1162689634"</f>
        <v>FES1162689634</v>
      </c>
      <c r="C1739" s="7">
        <v>43599</v>
      </c>
      <c r="D1739" s="6">
        <v>1</v>
      </c>
      <c r="E1739" s="6">
        <v>2170688183</v>
      </c>
      <c r="F1739" s="6" t="s">
        <v>16</v>
      </c>
      <c r="G1739" s="6" t="s">
        <v>17</v>
      </c>
      <c r="H1739" s="6" t="s">
        <v>17</v>
      </c>
      <c r="I1739" s="6" t="s">
        <v>64</v>
      </c>
      <c r="J1739" s="6" t="s">
        <v>509</v>
      </c>
      <c r="K1739" s="7">
        <v>43600</v>
      </c>
      <c r="L1739" s="8">
        <v>0.375</v>
      </c>
      <c r="M1739" s="6" t="s">
        <v>2659</v>
      </c>
      <c r="N1739" s="6" t="s">
        <v>21</v>
      </c>
      <c r="O1739" s="6" t="s">
        <v>22</v>
      </c>
    </row>
    <row r="1740" spans="1:15" hidden="1">
      <c r="A1740" t="s">
        <v>15</v>
      </c>
      <c r="B1740" t="str">
        <f>"FES1162689604"</f>
        <v>FES1162689604</v>
      </c>
      <c r="C1740" s="9">
        <v>43599</v>
      </c>
      <c r="D1740">
        <v>1</v>
      </c>
      <c r="E1740">
        <v>2170688136</v>
      </c>
      <c r="F1740" t="s">
        <v>16</v>
      </c>
      <c r="G1740" t="s">
        <v>17</v>
      </c>
      <c r="H1740" t="s">
        <v>59</v>
      </c>
      <c r="I1740" t="s">
        <v>103</v>
      </c>
      <c r="J1740" t="s">
        <v>2681</v>
      </c>
      <c r="K1740" s="9">
        <v>43600</v>
      </c>
      <c r="L1740" s="10">
        <v>0.35416666666666669</v>
      </c>
      <c r="M1740" t="s">
        <v>2769</v>
      </c>
      <c r="N1740" t="s">
        <v>2770</v>
      </c>
      <c r="O1740" t="s">
        <v>22</v>
      </c>
    </row>
    <row r="1741" spans="1:15">
      <c r="A1741" s="6" t="s">
        <v>15</v>
      </c>
      <c r="B1741" s="6" t="str">
        <f>"FES1162689759"</f>
        <v>FES1162689759</v>
      </c>
      <c r="C1741" s="7">
        <v>43599</v>
      </c>
      <c r="D1741" s="6">
        <v>1</v>
      </c>
      <c r="E1741" s="6">
        <v>2170688244</v>
      </c>
      <c r="F1741" s="6" t="s">
        <v>16</v>
      </c>
      <c r="G1741" s="6" t="s">
        <v>17</v>
      </c>
      <c r="H1741" s="6" t="s">
        <v>17</v>
      </c>
      <c r="I1741" s="6" t="s">
        <v>18</v>
      </c>
      <c r="J1741" s="6" t="s">
        <v>19</v>
      </c>
      <c r="K1741" s="7">
        <v>43600</v>
      </c>
      <c r="L1741" s="8">
        <v>0.41666666666666669</v>
      </c>
      <c r="M1741" s="6" t="s">
        <v>1327</v>
      </c>
      <c r="N1741" s="6" t="s">
        <v>21</v>
      </c>
      <c r="O1741" s="6" t="s">
        <v>22</v>
      </c>
    </row>
    <row r="1742" spans="1:15" hidden="1">
      <c r="A1742" t="s">
        <v>15</v>
      </c>
      <c r="B1742" t="str">
        <f>"FES1162689652"</f>
        <v>FES1162689652</v>
      </c>
      <c r="C1742" s="9">
        <v>43599</v>
      </c>
      <c r="D1742">
        <v>1</v>
      </c>
      <c r="E1742">
        <v>2170688196</v>
      </c>
      <c r="F1742" t="s">
        <v>16</v>
      </c>
      <c r="G1742" t="s">
        <v>17</v>
      </c>
      <c r="H1742" t="s">
        <v>32</v>
      </c>
      <c r="I1742" t="s">
        <v>33</v>
      </c>
      <c r="J1742" t="s">
        <v>360</v>
      </c>
      <c r="K1742" s="9">
        <v>43600</v>
      </c>
      <c r="L1742" s="10">
        <v>0.36944444444444446</v>
      </c>
      <c r="M1742" t="s">
        <v>686</v>
      </c>
      <c r="N1742" t="s">
        <v>2771</v>
      </c>
      <c r="O1742" t="s">
        <v>22</v>
      </c>
    </row>
    <row r="1743" spans="1:15" hidden="1">
      <c r="A1743" t="s">
        <v>15</v>
      </c>
      <c r="B1743" t="str">
        <f>"FES1162689741"</f>
        <v>FES1162689741</v>
      </c>
      <c r="C1743" s="9">
        <v>43599</v>
      </c>
      <c r="D1743">
        <v>1</v>
      </c>
      <c r="E1743">
        <v>21706882222</v>
      </c>
      <c r="F1743" t="s">
        <v>16</v>
      </c>
      <c r="G1743" t="s">
        <v>17</v>
      </c>
      <c r="H1743" t="s">
        <v>290</v>
      </c>
      <c r="I1743" t="s">
        <v>309</v>
      </c>
      <c r="J1743" t="s">
        <v>2772</v>
      </c>
      <c r="K1743" s="9">
        <v>43600</v>
      </c>
      <c r="L1743" s="10">
        <v>0.4236111111111111</v>
      </c>
      <c r="M1743" t="s">
        <v>2773</v>
      </c>
      <c r="N1743" t="s">
        <v>2774</v>
      </c>
      <c r="O1743" t="s">
        <v>22</v>
      </c>
    </row>
    <row r="1744" spans="1:15" hidden="1">
      <c r="A1744" t="s">
        <v>15</v>
      </c>
      <c r="B1744" t="str">
        <f>"FES1162689621"</f>
        <v>FES1162689621</v>
      </c>
      <c r="C1744" s="9">
        <v>43599</v>
      </c>
      <c r="D1744">
        <v>1</v>
      </c>
      <c r="E1744">
        <v>2170688166</v>
      </c>
      <c r="F1744" t="s">
        <v>16</v>
      </c>
      <c r="G1744" t="s">
        <v>17</v>
      </c>
      <c r="H1744" t="s">
        <v>141</v>
      </c>
      <c r="I1744" t="s">
        <v>142</v>
      </c>
      <c r="J1744" t="s">
        <v>143</v>
      </c>
      <c r="K1744" s="9">
        <v>43600</v>
      </c>
      <c r="L1744" s="10">
        <v>0.42986111111111108</v>
      </c>
      <c r="M1744" t="s">
        <v>903</v>
      </c>
      <c r="N1744" t="s">
        <v>2775</v>
      </c>
      <c r="O1744" t="s">
        <v>22</v>
      </c>
    </row>
    <row r="1745" spans="1:15" hidden="1">
      <c r="A1745" t="s">
        <v>15</v>
      </c>
      <c r="B1745" t="str">
        <f>"FES1162689685"</f>
        <v>FES1162689685</v>
      </c>
      <c r="C1745" s="9">
        <v>43599</v>
      </c>
      <c r="D1745">
        <v>1</v>
      </c>
      <c r="E1745">
        <v>2170686493</v>
      </c>
      <c r="F1745" t="s">
        <v>16</v>
      </c>
      <c r="G1745" t="s">
        <v>17</v>
      </c>
      <c r="H1745" t="s">
        <v>141</v>
      </c>
      <c r="I1745" t="s">
        <v>185</v>
      </c>
      <c r="J1745" t="s">
        <v>1816</v>
      </c>
      <c r="K1745" s="9">
        <v>43600</v>
      </c>
      <c r="L1745" s="10">
        <v>0.4375</v>
      </c>
      <c r="M1745" t="s">
        <v>2776</v>
      </c>
      <c r="N1745" t="s">
        <v>2777</v>
      </c>
      <c r="O1745" t="s">
        <v>22</v>
      </c>
    </row>
    <row r="1746" spans="1:15">
      <c r="A1746" s="6" t="s">
        <v>15</v>
      </c>
      <c r="B1746" s="6" t="str">
        <f>"FES1162689739"</f>
        <v>FES1162689739</v>
      </c>
      <c r="C1746" s="7">
        <v>43599</v>
      </c>
      <c r="D1746" s="6">
        <v>1</v>
      </c>
      <c r="E1746" s="6">
        <v>2170686400</v>
      </c>
      <c r="F1746" s="6" t="s">
        <v>16</v>
      </c>
      <c r="G1746" s="6" t="s">
        <v>17</v>
      </c>
      <c r="H1746" s="6" t="s">
        <v>17</v>
      </c>
      <c r="I1746" s="6" t="s">
        <v>64</v>
      </c>
      <c r="J1746" s="6" t="s">
        <v>2778</v>
      </c>
      <c r="K1746" s="7">
        <v>43606</v>
      </c>
      <c r="L1746" s="8">
        <v>0.42152777777777778</v>
      </c>
      <c r="M1746" s="6" t="s">
        <v>2779</v>
      </c>
      <c r="N1746" s="6" t="s">
        <v>21</v>
      </c>
      <c r="O1746" s="6" t="s">
        <v>22</v>
      </c>
    </row>
    <row r="1747" spans="1:15" hidden="1">
      <c r="A1747" t="s">
        <v>15</v>
      </c>
      <c r="B1747" t="str">
        <f>"FES1162689772"</f>
        <v>FES1162689772</v>
      </c>
      <c r="C1747" s="9">
        <v>43599</v>
      </c>
      <c r="D1747">
        <v>1</v>
      </c>
      <c r="E1747">
        <v>2170688256</v>
      </c>
      <c r="F1747" t="s">
        <v>16</v>
      </c>
      <c r="G1747" t="s">
        <v>17</v>
      </c>
      <c r="H1747" t="s">
        <v>43</v>
      </c>
      <c r="I1747" t="s">
        <v>44</v>
      </c>
      <c r="J1747" t="s">
        <v>742</v>
      </c>
      <c r="K1747" s="9">
        <v>43600</v>
      </c>
      <c r="L1747" s="10">
        <v>0.38680555555555557</v>
      </c>
      <c r="M1747" t="s">
        <v>743</v>
      </c>
      <c r="N1747" t="s">
        <v>2780</v>
      </c>
      <c r="O1747" t="s">
        <v>22</v>
      </c>
    </row>
    <row r="1748" spans="1:15" hidden="1">
      <c r="A1748" t="s">
        <v>15</v>
      </c>
      <c r="B1748" t="str">
        <f>"FES1162689683"</f>
        <v>FES1162689683</v>
      </c>
      <c r="C1748" s="9">
        <v>43599</v>
      </c>
      <c r="D1748">
        <v>1</v>
      </c>
      <c r="E1748">
        <v>2170686475</v>
      </c>
      <c r="F1748" t="s">
        <v>16</v>
      </c>
      <c r="G1748" t="s">
        <v>17</v>
      </c>
      <c r="H1748" t="s">
        <v>43</v>
      </c>
      <c r="I1748" t="s">
        <v>44</v>
      </c>
      <c r="J1748" t="s">
        <v>173</v>
      </c>
      <c r="K1748" s="9">
        <v>43601</v>
      </c>
      <c r="L1748" s="10">
        <v>0.30624999999999997</v>
      </c>
      <c r="M1748" t="s">
        <v>2781</v>
      </c>
      <c r="N1748" t="s">
        <v>2782</v>
      </c>
      <c r="O1748" t="s">
        <v>22</v>
      </c>
    </row>
    <row r="1749" spans="1:15" hidden="1">
      <c r="A1749" t="s">
        <v>15</v>
      </c>
      <c r="B1749" t="str">
        <f>"FES1162689754"</f>
        <v>FES1162689754</v>
      </c>
      <c r="C1749" s="9">
        <v>43599</v>
      </c>
      <c r="D1749">
        <v>1</v>
      </c>
      <c r="E1749">
        <v>2170688237</v>
      </c>
      <c r="F1749" t="s">
        <v>16</v>
      </c>
      <c r="G1749" t="s">
        <v>17</v>
      </c>
      <c r="H1749" t="s">
        <v>43</v>
      </c>
      <c r="I1749" t="s">
        <v>44</v>
      </c>
      <c r="J1749" t="s">
        <v>748</v>
      </c>
      <c r="K1749" s="9">
        <v>43600</v>
      </c>
      <c r="L1749" s="10">
        <v>0.41666666666666669</v>
      </c>
      <c r="M1749" t="s">
        <v>1194</v>
      </c>
      <c r="N1749" t="s">
        <v>2783</v>
      </c>
      <c r="O1749" t="s">
        <v>22</v>
      </c>
    </row>
    <row r="1750" spans="1:15" hidden="1">
      <c r="A1750" t="s">
        <v>15</v>
      </c>
      <c r="B1750" t="str">
        <f>"FES1162689708"</f>
        <v>FES1162689708</v>
      </c>
      <c r="C1750" s="9">
        <v>43599</v>
      </c>
      <c r="D1750">
        <v>1</v>
      </c>
      <c r="E1750">
        <v>2170686661</v>
      </c>
      <c r="F1750" t="s">
        <v>16</v>
      </c>
      <c r="G1750" t="s">
        <v>17</v>
      </c>
      <c r="H1750" t="s">
        <v>43</v>
      </c>
      <c r="I1750" t="s">
        <v>44</v>
      </c>
      <c r="J1750" t="s">
        <v>748</v>
      </c>
      <c r="K1750" s="9">
        <v>43600</v>
      </c>
      <c r="L1750" s="10">
        <v>0.41666666666666669</v>
      </c>
      <c r="M1750" t="s">
        <v>1194</v>
      </c>
      <c r="N1750" t="s">
        <v>2784</v>
      </c>
      <c r="O1750" t="s">
        <v>22</v>
      </c>
    </row>
    <row r="1751" spans="1:15" hidden="1">
      <c r="A1751" t="s">
        <v>15</v>
      </c>
      <c r="B1751" t="str">
        <f>"FES1162689684"</f>
        <v>FES1162689684</v>
      </c>
      <c r="C1751" s="9">
        <v>43599</v>
      </c>
      <c r="D1751">
        <v>1</v>
      </c>
      <c r="E1751">
        <v>2170686489</v>
      </c>
      <c r="F1751" t="s">
        <v>16</v>
      </c>
      <c r="G1751" t="s">
        <v>17</v>
      </c>
      <c r="H1751" t="s">
        <v>43</v>
      </c>
      <c r="I1751" t="s">
        <v>44</v>
      </c>
      <c r="J1751" t="s">
        <v>128</v>
      </c>
      <c r="K1751" s="9">
        <v>43600</v>
      </c>
      <c r="L1751" s="10">
        <v>0.41666666666666669</v>
      </c>
      <c r="M1751" t="s">
        <v>2498</v>
      </c>
      <c r="N1751" t="s">
        <v>2785</v>
      </c>
      <c r="O1751" t="s">
        <v>22</v>
      </c>
    </row>
    <row r="1752" spans="1:15" hidden="1">
      <c r="A1752" t="s">
        <v>15</v>
      </c>
      <c r="B1752" t="str">
        <f>"FES1162689687"</f>
        <v>FES1162689687</v>
      </c>
      <c r="C1752" s="9">
        <v>43599</v>
      </c>
      <c r="D1752">
        <v>1</v>
      </c>
      <c r="E1752">
        <v>2170686501</v>
      </c>
      <c r="F1752" t="s">
        <v>16</v>
      </c>
      <c r="G1752" t="s">
        <v>17</v>
      </c>
      <c r="H1752" t="s">
        <v>43</v>
      </c>
      <c r="I1752" t="s">
        <v>44</v>
      </c>
      <c r="J1752" t="s">
        <v>128</v>
      </c>
      <c r="K1752" s="9">
        <v>43600</v>
      </c>
      <c r="L1752" s="10">
        <v>0.41666666666666669</v>
      </c>
      <c r="M1752" t="s">
        <v>2498</v>
      </c>
      <c r="N1752" t="s">
        <v>2786</v>
      </c>
      <c r="O1752" t="s">
        <v>22</v>
      </c>
    </row>
    <row r="1753" spans="1:15" hidden="1">
      <c r="A1753" t="s">
        <v>15</v>
      </c>
      <c r="B1753" t="str">
        <f>"FES1162689721"</f>
        <v>FES1162689721</v>
      </c>
      <c r="C1753" s="9">
        <v>43599</v>
      </c>
      <c r="D1753">
        <v>1</v>
      </c>
      <c r="E1753">
        <v>2170686918</v>
      </c>
      <c r="F1753" t="s">
        <v>16</v>
      </c>
      <c r="G1753" t="s">
        <v>17</v>
      </c>
      <c r="H1753" t="s">
        <v>43</v>
      </c>
      <c r="I1753" t="s">
        <v>738</v>
      </c>
      <c r="J1753" t="s">
        <v>942</v>
      </c>
      <c r="K1753" s="9">
        <v>43600</v>
      </c>
      <c r="L1753" s="10">
        <v>0.41666666666666669</v>
      </c>
      <c r="M1753" t="s">
        <v>2787</v>
      </c>
      <c r="N1753" t="s">
        <v>2788</v>
      </c>
      <c r="O1753" t="s">
        <v>22</v>
      </c>
    </row>
    <row r="1754" spans="1:15" hidden="1">
      <c r="A1754" t="s">
        <v>15</v>
      </c>
      <c r="B1754" t="str">
        <f>"FES1162689714"</f>
        <v>FES1162689714</v>
      </c>
      <c r="C1754" s="9">
        <v>43599</v>
      </c>
      <c r="D1754">
        <v>1</v>
      </c>
      <c r="E1754">
        <v>2170686752</v>
      </c>
      <c r="F1754" t="s">
        <v>16</v>
      </c>
      <c r="G1754" t="s">
        <v>17</v>
      </c>
      <c r="H1754" t="s">
        <v>43</v>
      </c>
      <c r="I1754" t="s">
        <v>44</v>
      </c>
      <c r="J1754" t="s">
        <v>642</v>
      </c>
      <c r="K1754" s="9">
        <v>43600</v>
      </c>
      <c r="L1754" s="10">
        <v>0.38055555555555554</v>
      </c>
      <c r="M1754" t="s">
        <v>643</v>
      </c>
      <c r="N1754" t="s">
        <v>2789</v>
      </c>
      <c r="O1754" t="s">
        <v>22</v>
      </c>
    </row>
    <row r="1755" spans="1:15">
      <c r="A1755" s="6" t="s">
        <v>15</v>
      </c>
      <c r="B1755" s="6" t="str">
        <f>"FES1162682500"</f>
        <v>FES1162682500</v>
      </c>
      <c r="C1755" s="7">
        <v>43599</v>
      </c>
      <c r="D1755" s="6">
        <v>1</v>
      </c>
      <c r="E1755" s="6">
        <v>2170682293</v>
      </c>
      <c r="F1755" s="6" t="s">
        <v>16</v>
      </c>
      <c r="G1755" s="6" t="s">
        <v>17</v>
      </c>
      <c r="H1755" s="6" t="s">
        <v>17</v>
      </c>
      <c r="I1755" s="6" t="s">
        <v>18</v>
      </c>
      <c r="J1755" s="6" t="s">
        <v>19</v>
      </c>
      <c r="K1755" s="7">
        <v>43600</v>
      </c>
      <c r="L1755" s="8">
        <v>0.41666666666666669</v>
      </c>
      <c r="M1755" s="6" t="s">
        <v>1327</v>
      </c>
      <c r="N1755" s="6" t="s">
        <v>21</v>
      </c>
      <c r="O1755" s="6" t="s">
        <v>22</v>
      </c>
    </row>
    <row r="1756" spans="1:15" hidden="1">
      <c r="A1756" t="s">
        <v>15</v>
      </c>
      <c r="B1756" t="str">
        <f>"FES1162689622"</f>
        <v>FES1162689622</v>
      </c>
      <c r="C1756" s="9">
        <v>43599</v>
      </c>
      <c r="D1756">
        <v>1</v>
      </c>
      <c r="E1756">
        <v>2170688167</v>
      </c>
      <c r="F1756" t="s">
        <v>16</v>
      </c>
      <c r="G1756" t="s">
        <v>17</v>
      </c>
      <c r="H1756" t="s">
        <v>32</v>
      </c>
      <c r="I1756" t="s">
        <v>269</v>
      </c>
      <c r="J1756" t="s">
        <v>683</v>
      </c>
      <c r="K1756" s="9">
        <v>43600</v>
      </c>
      <c r="L1756" s="10">
        <v>0.34375</v>
      </c>
      <c r="M1756" t="s">
        <v>931</v>
      </c>
      <c r="N1756" t="s">
        <v>2790</v>
      </c>
      <c r="O1756" t="s">
        <v>22</v>
      </c>
    </row>
    <row r="1757" spans="1:15" hidden="1">
      <c r="A1757" t="s">
        <v>15</v>
      </c>
      <c r="B1757" t="str">
        <f>"FES1162689716"</f>
        <v>FES1162689716</v>
      </c>
      <c r="C1757" s="9">
        <v>43599</v>
      </c>
      <c r="D1757">
        <v>1</v>
      </c>
      <c r="E1757">
        <v>2170686757</v>
      </c>
      <c r="F1757" t="s">
        <v>16</v>
      </c>
      <c r="G1757" t="s">
        <v>17</v>
      </c>
      <c r="H1757" t="s">
        <v>141</v>
      </c>
      <c r="I1757" t="s">
        <v>142</v>
      </c>
      <c r="J1757" t="s">
        <v>917</v>
      </c>
      <c r="K1757" s="9">
        <v>43600</v>
      </c>
      <c r="L1757" s="10">
        <v>0.33333333333333331</v>
      </c>
      <c r="M1757" t="s">
        <v>2689</v>
      </c>
      <c r="N1757" t="s">
        <v>2791</v>
      </c>
      <c r="O1757" t="s">
        <v>22</v>
      </c>
    </row>
    <row r="1758" spans="1:15" hidden="1">
      <c r="A1758" t="s">
        <v>15</v>
      </c>
      <c r="B1758" t="str">
        <f>"019911311355"</f>
        <v>019911311355</v>
      </c>
      <c r="C1758" s="9">
        <v>43599</v>
      </c>
      <c r="D1758">
        <v>1</v>
      </c>
      <c r="E1758">
        <v>1703</v>
      </c>
      <c r="F1758" t="s">
        <v>58</v>
      </c>
      <c r="G1758" t="s">
        <v>43</v>
      </c>
      <c r="H1758" t="s">
        <v>59</v>
      </c>
      <c r="I1758" t="s">
        <v>64</v>
      </c>
      <c r="J1758" t="s">
        <v>1062</v>
      </c>
      <c r="K1758" s="9">
        <v>43601</v>
      </c>
      <c r="L1758" s="10">
        <v>0.35416666666666669</v>
      </c>
      <c r="M1758" t="s">
        <v>2792</v>
      </c>
      <c r="N1758" t="s">
        <v>2793</v>
      </c>
      <c r="O1758" t="s">
        <v>22</v>
      </c>
    </row>
    <row r="1759" spans="1:15" hidden="1">
      <c r="A1759" t="s">
        <v>15</v>
      </c>
      <c r="B1759" t="str">
        <f>"FES1162689712"</f>
        <v>FES1162689712</v>
      </c>
      <c r="C1759" s="9">
        <v>43599</v>
      </c>
      <c r="D1759">
        <v>1</v>
      </c>
      <c r="E1759">
        <v>2170686696</v>
      </c>
      <c r="F1759" t="s">
        <v>16</v>
      </c>
      <c r="G1759" t="s">
        <v>17</v>
      </c>
      <c r="H1759" t="s">
        <v>32</v>
      </c>
      <c r="I1759" t="s">
        <v>33</v>
      </c>
      <c r="J1759" t="s">
        <v>34</v>
      </c>
      <c r="K1759" s="9">
        <v>43600</v>
      </c>
      <c r="L1759" s="10">
        <v>0.40625</v>
      </c>
      <c r="M1759" t="s">
        <v>35</v>
      </c>
      <c r="N1759" t="s">
        <v>2794</v>
      </c>
      <c r="O1759" t="s">
        <v>22</v>
      </c>
    </row>
    <row r="1760" spans="1:15">
      <c r="A1760" s="6" t="s">
        <v>15</v>
      </c>
      <c r="B1760" s="6" t="str">
        <f>"FES1162682498"</f>
        <v>FES1162682498</v>
      </c>
      <c r="C1760" s="7">
        <v>43599</v>
      </c>
      <c r="D1760" s="6">
        <v>1</v>
      </c>
      <c r="E1760" s="6">
        <v>2170682291</v>
      </c>
      <c r="F1760" s="6" t="s">
        <v>16</v>
      </c>
      <c r="G1760" s="6" t="s">
        <v>17</v>
      </c>
      <c r="H1760" s="6" t="s">
        <v>17</v>
      </c>
      <c r="I1760" s="6" t="s">
        <v>18</v>
      </c>
      <c r="J1760" s="6" t="s">
        <v>19</v>
      </c>
      <c r="K1760" s="7">
        <v>43600</v>
      </c>
      <c r="L1760" s="8">
        <v>0.41666666666666669</v>
      </c>
      <c r="M1760" s="6" t="s">
        <v>1327</v>
      </c>
      <c r="N1760" s="6" t="s">
        <v>21</v>
      </c>
      <c r="O1760" s="6" t="s">
        <v>22</v>
      </c>
    </row>
    <row r="1761" spans="1:15" hidden="1">
      <c r="A1761" t="s">
        <v>15</v>
      </c>
      <c r="B1761" t="str">
        <f>"FES1162689672"</f>
        <v>FES1162689672</v>
      </c>
      <c r="C1761" s="9">
        <v>43599</v>
      </c>
      <c r="D1761">
        <v>1</v>
      </c>
      <c r="E1761">
        <v>2170686329</v>
      </c>
      <c r="F1761" t="s">
        <v>16</v>
      </c>
      <c r="G1761" t="s">
        <v>17</v>
      </c>
      <c r="H1761" t="s">
        <v>290</v>
      </c>
      <c r="I1761" t="s">
        <v>291</v>
      </c>
      <c r="J1761" t="s">
        <v>709</v>
      </c>
      <c r="K1761" s="9">
        <v>43600</v>
      </c>
      <c r="L1761" s="10">
        <v>0.40625</v>
      </c>
      <c r="M1761" t="s">
        <v>2091</v>
      </c>
      <c r="N1761" t="s">
        <v>2795</v>
      </c>
      <c r="O1761" t="s">
        <v>22</v>
      </c>
    </row>
    <row r="1762" spans="1:15" hidden="1">
      <c r="A1762" t="s">
        <v>15</v>
      </c>
      <c r="B1762" t="str">
        <f>"FES1162689813"</f>
        <v>FES1162689813</v>
      </c>
      <c r="C1762" s="9">
        <v>43599</v>
      </c>
      <c r="D1762">
        <v>1</v>
      </c>
      <c r="E1762">
        <v>2170688304</v>
      </c>
      <c r="F1762" t="s">
        <v>16</v>
      </c>
      <c r="G1762" t="s">
        <v>17</v>
      </c>
      <c r="H1762" t="s">
        <v>32</v>
      </c>
      <c r="I1762" t="s">
        <v>33</v>
      </c>
      <c r="J1762" t="s">
        <v>360</v>
      </c>
      <c r="K1762" s="9">
        <v>43600</v>
      </c>
      <c r="L1762" s="10">
        <v>0.36944444444444446</v>
      </c>
      <c r="M1762" t="s">
        <v>361</v>
      </c>
      <c r="N1762" t="s">
        <v>2796</v>
      </c>
      <c r="O1762" t="s">
        <v>22</v>
      </c>
    </row>
    <row r="1763" spans="1:15" hidden="1">
      <c r="A1763" t="s">
        <v>15</v>
      </c>
      <c r="B1763" t="str">
        <f>"FES1162689805"</f>
        <v>FES1162689805</v>
      </c>
      <c r="C1763" s="9">
        <v>43599</v>
      </c>
      <c r="D1763">
        <v>1</v>
      </c>
      <c r="E1763">
        <v>2170688061</v>
      </c>
      <c r="F1763" t="s">
        <v>16</v>
      </c>
      <c r="G1763" t="s">
        <v>17</v>
      </c>
      <c r="H1763" t="s">
        <v>37</v>
      </c>
      <c r="I1763" t="s">
        <v>38</v>
      </c>
      <c r="J1763" t="s">
        <v>1771</v>
      </c>
      <c r="K1763" s="9">
        <v>43600</v>
      </c>
      <c r="L1763" s="10">
        <v>0.41666666666666669</v>
      </c>
      <c r="M1763" t="s">
        <v>2417</v>
      </c>
      <c r="N1763" t="s">
        <v>2797</v>
      </c>
      <c r="O1763" t="s">
        <v>22</v>
      </c>
    </row>
    <row r="1764" spans="1:15" hidden="1">
      <c r="A1764" t="s">
        <v>15</v>
      </c>
      <c r="B1764" t="str">
        <f>"FES1162689667"</f>
        <v>FES1162689667</v>
      </c>
      <c r="C1764" s="9">
        <v>43599</v>
      </c>
      <c r="D1764">
        <v>1</v>
      </c>
      <c r="E1764">
        <v>2170684766</v>
      </c>
      <c r="F1764" t="s">
        <v>16</v>
      </c>
      <c r="G1764" t="s">
        <v>17</v>
      </c>
      <c r="H1764" t="s">
        <v>290</v>
      </c>
      <c r="I1764" t="s">
        <v>291</v>
      </c>
      <c r="J1764" t="s">
        <v>2738</v>
      </c>
      <c r="K1764" s="9">
        <v>43600</v>
      </c>
      <c r="L1764" s="10">
        <v>0.3888888888888889</v>
      </c>
      <c r="M1764" t="s">
        <v>2739</v>
      </c>
      <c r="N1764" t="s">
        <v>2798</v>
      </c>
      <c r="O1764" t="s">
        <v>22</v>
      </c>
    </row>
    <row r="1765" spans="1:15" hidden="1">
      <c r="A1765" t="s">
        <v>15</v>
      </c>
      <c r="B1765" t="str">
        <f>"FES1162689642"</f>
        <v>FES1162689642</v>
      </c>
      <c r="C1765" s="9">
        <v>43599</v>
      </c>
      <c r="D1765">
        <v>1</v>
      </c>
      <c r="E1765">
        <v>2170688193</v>
      </c>
      <c r="F1765" t="s">
        <v>16</v>
      </c>
      <c r="G1765" t="s">
        <v>17</v>
      </c>
      <c r="H1765" t="s">
        <v>141</v>
      </c>
      <c r="I1765" t="s">
        <v>142</v>
      </c>
      <c r="J1765" t="s">
        <v>213</v>
      </c>
      <c r="K1765" s="9">
        <v>43600</v>
      </c>
      <c r="L1765" s="10">
        <v>0.38541666666666669</v>
      </c>
      <c r="M1765" t="s">
        <v>214</v>
      </c>
      <c r="N1765" t="s">
        <v>2799</v>
      </c>
      <c r="O1765" t="s">
        <v>22</v>
      </c>
    </row>
    <row r="1766" spans="1:15">
      <c r="A1766" s="6" t="s">
        <v>15</v>
      </c>
      <c r="B1766" s="6" t="str">
        <f>"FES1162689673"</f>
        <v>FES1162689673</v>
      </c>
      <c r="C1766" s="7">
        <v>43599</v>
      </c>
      <c r="D1766" s="6">
        <v>1</v>
      </c>
      <c r="E1766" s="6">
        <v>2170686336</v>
      </c>
      <c r="F1766" s="6" t="s">
        <v>16</v>
      </c>
      <c r="G1766" s="6" t="s">
        <v>17</v>
      </c>
      <c r="H1766" s="6" t="s">
        <v>17</v>
      </c>
      <c r="I1766" s="6" t="s">
        <v>935</v>
      </c>
      <c r="J1766" s="6" t="s">
        <v>936</v>
      </c>
      <c r="K1766" s="7">
        <v>43600</v>
      </c>
      <c r="L1766" s="8">
        <v>0.43055555555555558</v>
      </c>
      <c r="M1766" s="6" t="s">
        <v>2629</v>
      </c>
      <c r="N1766" s="6" t="s">
        <v>21</v>
      </c>
      <c r="O1766" s="6" t="s">
        <v>22</v>
      </c>
    </row>
    <row r="1767" spans="1:15">
      <c r="A1767" s="6" t="s">
        <v>15</v>
      </c>
      <c r="B1767" s="6" t="str">
        <f>"FES1162689597"</f>
        <v>FES1162689597</v>
      </c>
      <c r="C1767" s="7">
        <v>43599</v>
      </c>
      <c r="D1767" s="6">
        <v>1</v>
      </c>
      <c r="E1767" s="6">
        <v>2170687916</v>
      </c>
      <c r="F1767" s="6" t="s">
        <v>16</v>
      </c>
      <c r="G1767" s="6" t="s">
        <v>17</v>
      </c>
      <c r="H1767" s="6" t="s">
        <v>17</v>
      </c>
      <c r="I1767" s="6" t="s">
        <v>29</v>
      </c>
      <c r="J1767" s="6" t="s">
        <v>912</v>
      </c>
      <c r="K1767" s="7">
        <v>43600</v>
      </c>
      <c r="L1767" s="8">
        <v>0.65486111111111112</v>
      </c>
      <c r="M1767" s="6" t="s">
        <v>2800</v>
      </c>
      <c r="N1767" s="6" t="s">
        <v>21</v>
      </c>
      <c r="O1767" s="6" t="s">
        <v>22</v>
      </c>
    </row>
    <row r="1768" spans="1:15" hidden="1">
      <c r="A1768" t="s">
        <v>15</v>
      </c>
      <c r="B1768" t="str">
        <f>"FES1162689818"</f>
        <v>FES1162689818</v>
      </c>
      <c r="C1768" s="9">
        <v>43599</v>
      </c>
      <c r="D1768">
        <v>1</v>
      </c>
      <c r="E1768">
        <v>2170688309</v>
      </c>
      <c r="F1768" t="s">
        <v>16</v>
      </c>
      <c r="G1768" t="s">
        <v>17</v>
      </c>
      <c r="H1768" t="s">
        <v>37</v>
      </c>
      <c r="I1768" t="s">
        <v>38</v>
      </c>
      <c r="J1768" t="s">
        <v>39</v>
      </c>
      <c r="K1768" s="9">
        <v>43600</v>
      </c>
      <c r="L1768" s="10">
        <v>0.3743055555555555</v>
      </c>
      <c r="M1768" t="s">
        <v>1740</v>
      </c>
      <c r="N1768" t="s">
        <v>2801</v>
      </c>
      <c r="O1768" t="s">
        <v>22</v>
      </c>
    </row>
    <row r="1769" spans="1:15" hidden="1">
      <c r="A1769" t="s">
        <v>15</v>
      </c>
      <c r="B1769" t="str">
        <f>"FES1162689814"</f>
        <v>FES1162689814</v>
      </c>
      <c r="C1769" s="9">
        <v>43599</v>
      </c>
      <c r="D1769">
        <v>1</v>
      </c>
      <c r="E1769">
        <v>2170688305</v>
      </c>
      <c r="F1769" t="s">
        <v>16</v>
      </c>
      <c r="G1769" t="s">
        <v>17</v>
      </c>
      <c r="H1769" t="s">
        <v>37</v>
      </c>
      <c r="I1769" t="s">
        <v>38</v>
      </c>
      <c r="J1769" t="s">
        <v>39</v>
      </c>
      <c r="K1769" s="9">
        <v>43600</v>
      </c>
      <c r="L1769" s="10">
        <v>0.3743055555555555</v>
      </c>
      <c r="M1769" t="s">
        <v>1740</v>
      </c>
      <c r="N1769" t="s">
        <v>2802</v>
      </c>
      <c r="O1769" t="s">
        <v>22</v>
      </c>
    </row>
    <row r="1770" spans="1:15">
      <c r="A1770" s="6" t="s">
        <v>15</v>
      </c>
      <c r="B1770" s="6" t="str">
        <f>"FES1162689592"</f>
        <v>FES1162689592</v>
      </c>
      <c r="C1770" s="7">
        <v>43599</v>
      </c>
      <c r="D1770" s="6">
        <v>1</v>
      </c>
      <c r="E1770" s="6">
        <v>2170687783</v>
      </c>
      <c r="F1770" s="6" t="s">
        <v>16</v>
      </c>
      <c r="G1770" s="6" t="s">
        <v>17</v>
      </c>
      <c r="H1770" s="6" t="s">
        <v>17</v>
      </c>
      <c r="I1770" s="6" t="s">
        <v>18</v>
      </c>
      <c r="J1770" s="6" t="s">
        <v>19</v>
      </c>
      <c r="K1770" s="7">
        <v>43600</v>
      </c>
      <c r="L1770" s="8">
        <v>0.41666666666666669</v>
      </c>
      <c r="M1770" s="6" t="s">
        <v>1327</v>
      </c>
      <c r="N1770" s="6" t="s">
        <v>21</v>
      </c>
      <c r="O1770" s="6" t="s">
        <v>22</v>
      </c>
    </row>
    <row r="1771" spans="1:15">
      <c r="A1771" s="6" t="s">
        <v>15</v>
      </c>
      <c r="B1771" s="6" t="str">
        <f>"FES1162689649"</f>
        <v>FES1162689649</v>
      </c>
      <c r="C1771" s="7">
        <v>43599</v>
      </c>
      <c r="D1771" s="6">
        <v>1</v>
      </c>
      <c r="E1771" s="6">
        <v>2170686955</v>
      </c>
      <c r="F1771" s="6" t="s">
        <v>16</v>
      </c>
      <c r="G1771" s="6" t="s">
        <v>17</v>
      </c>
      <c r="H1771" s="6" t="s">
        <v>17</v>
      </c>
      <c r="I1771" s="6" t="s">
        <v>23</v>
      </c>
      <c r="J1771" s="6" t="s">
        <v>483</v>
      </c>
      <c r="K1771" s="7">
        <v>43600</v>
      </c>
      <c r="L1771" s="8">
        <v>0.34722222222222227</v>
      </c>
      <c r="M1771" s="6" t="s">
        <v>100</v>
      </c>
      <c r="N1771" s="6" t="s">
        <v>21</v>
      </c>
      <c r="O1771" s="6" t="s">
        <v>22</v>
      </c>
    </row>
    <row r="1772" spans="1:15" hidden="1">
      <c r="A1772" t="s">
        <v>15</v>
      </c>
      <c r="B1772" t="str">
        <f>"FES1162689781"</f>
        <v>FES1162689781</v>
      </c>
      <c r="C1772" s="9">
        <v>43599</v>
      </c>
      <c r="D1772">
        <v>1</v>
      </c>
      <c r="E1772">
        <v>2170688273</v>
      </c>
      <c r="F1772" t="s">
        <v>16</v>
      </c>
      <c r="G1772" t="s">
        <v>17</v>
      </c>
      <c r="H1772" t="s">
        <v>32</v>
      </c>
      <c r="I1772" t="s">
        <v>269</v>
      </c>
      <c r="J1772" t="s">
        <v>683</v>
      </c>
      <c r="K1772" s="9">
        <v>43600</v>
      </c>
      <c r="L1772" s="10">
        <v>0.34375</v>
      </c>
      <c r="M1772" t="s">
        <v>931</v>
      </c>
      <c r="N1772" t="s">
        <v>2803</v>
      </c>
      <c r="O1772" t="s">
        <v>22</v>
      </c>
    </row>
    <row r="1773" spans="1:15">
      <c r="A1773" s="6" t="s">
        <v>15</v>
      </c>
      <c r="B1773" s="6" t="str">
        <f>"FES1162689573"</f>
        <v>FES1162689573</v>
      </c>
      <c r="C1773" s="7">
        <v>43599</v>
      </c>
      <c r="D1773" s="6">
        <v>1</v>
      </c>
      <c r="E1773" s="6">
        <v>2170686064</v>
      </c>
      <c r="F1773" s="6" t="s">
        <v>16</v>
      </c>
      <c r="G1773" s="6" t="s">
        <v>17</v>
      </c>
      <c r="H1773" s="6" t="s">
        <v>17</v>
      </c>
      <c r="I1773" s="6" t="s">
        <v>64</v>
      </c>
      <c r="J1773" s="6" t="s">
        <v>1094</v>
      </c>
      <c r="K1773" s="7">
        <v>43600</v>
      </c>
      <c r="L1773" s="8">
        <v>0.33333333333333331</v>
      </c>
      <c r="M1773" s="6" t="s">
        <v>2034</v>
      </c>
      <c r="N1773" s="6" t="s">
        <v>21</v>
      </c>
      <c r="O1773" s="6" t="s">
        <v>22</v>
      </c>
    </row>
    <row r="1774" spans="1:15" hidden="1">
      <c r="A1774" t="s">
        <v>15</v>
      </c>
      <c r="B1774" t="str">
        <f>"FES1162689758"</f>
        <v>FES1162689758</v>
      </c>
      <c r="C1774" s="9">
        <v>43599</v>
      </c>
      <c r="D1774">
        <v>1</v>
      </c>
      <c r="E1774">
        <v>2170688243</v>
      </c>
      <c r="F1774" t="s">
        <v>16</v>
      </c>
      <c r="G1774" t="s">
        <v>17</v>
      </c>
      <c r="H1774" t="s">
        <v>43</v>
      </c>
      <c r="I1774" t="s">
        <v>44</v>
      </c>
      <c r="J1774" t="s">
        <v>2804</v>
      </c>
      <c r="K1774" s="9">
        <v>43600</v>
      </c>
      <c r="L1774" s="10">
        <v>0.41666666666666669</v>
      </c>
      <c r="M1774" t="s">
        <v>2805</v>
      </c>
      <c r="N1774" t="s">
        <v>2806</v>
      </c>
      <c r="O1774" t="s">
        <v>22</v>
      </c>
    </row>
    <row r="1775" spans="1:15">
      <c r="A1775" s="6" t="s">
        <v>15</v>
      </c>
      <c r="B1775" s="6" t="str">
        <f>"FES1162689659"</f>
        <v>FES1162689659</v>
      </c>
      <c r="C1775" s="7">
        <v>43599</v>
      </c>
      <c r="D1775" s="6">
        <v>1</v>
      </c>
      <c r="E1775" s="6">
        <v>2170688205</v>
      </c>
      <c r="F1775" s="6" t="s">
        <v>16</v>
      </c>
      <c r="G1775" s="6" t="s">
        <v>17</v>
      </c>
      <c r="H1775" s="6" t="s">
        <v>17</v>
      </c>
      <c r="I1775" s="6" t="s">
        <v>18</v>
      </c>
      <c r="J1775" s="6" t="s">
        <v>1687</v>
      </c>
      <c r="K1775" s="7">
        <v>43600</v>
      </c>
      <c r="L1775" s="8">
        <v>0.34722222222222227</v>
      </c>
      <c r="M1775" s="6" t="s">
        <v>100</v>
      </c>
      <c r="N1775" s="6" t="s">
        <v>21</v>
      </c>
      <c r="O1775" s="6" t="s">
        <v>22</v>
      </c>
    </row>
    <row r="1776" spans="1:15" hidden="1">
      <c r="A1776" t="s">
        <v>15</v>
      </c>
      <c r="B1776" t="str">
        <f>"FES1162689651"</f>
        <v>FES1162689651</v>
      </c>
      <c r="C1776" s="9">
        <v>43599</v>
      </c>
      <c r="D1776">
        <v>1</v>
      </c>
      <c r="E1776">
        <v>2170688195</v>
      </c>
      <c r="F1776" t="s">
        <v>16</v>
      </c>
      <c r="G1776" t="s">
        <v>17</v>
      </c>
      <c r="H1776" t="s">
        <v>43</v>
      </c>
      <c r="I1776" t="s">
        <v>807</v>
      </c>
      <c r="J1776" t="s">
        <v>808</v>
      </c>
      <c r="K1776" s="9">
        <v>43600</v>
      </c>
      <c r="L1776" s="10">
        <v>0.50486111111111109</v>
      </c>
      <c r="M1776" t="s">
        <v>2807</v>
      </c>
      <c r="N1776" t="s">
        <v>2808</v>
      </c>
      <c r="O1776" t="s">
        <v>22</v>
      </c>
    </row>
    <row r="1777" spans="1:15">
      <c r="A1777" s="6" t="s">
        <v>15</v>
      </c>
      <c r="B1777" s="6" t="str">
        <f>"FES1162689810"</f>
        <v>FES1162689810</v>
      </c>
      <c r="C1777" s="7">
        <v>43599</v>
      </c>
      <c r="D1777" s="6">
        <v>1</v>
      </c>
      <c r="E1777" s="6">
        <v>2170688296</v>
      </c>
      <c r="F1777" s="6" t="s">
        <v>16</v>
      </c>
      <c r="G1777" s="6" t="s">
        <v>17</v>
      </c>
      <c r="H1777" s="6" t="s">
        <v>17</v>
      </c>
      <c r="I1777" s="6" t="s">
        <v>23</v>
      </c>
      <c r="J1777" s="6" t="s">
        <v>483</v>
      </c>
      <c r="K1777" s="7">
        <v>43600</v>
      </c>
      <c r="L1777" s="8">
        <v>0.34722222222222227</v>
      </c>
      <c r="M1777" s="6" t="s">
        <v>100</v>
      </c>
      <c r="N1777" s="6" t="s">
        <v>21</v>
      </c>
      <c r="O1777" s="6" t="s">
        <v>22</v>
      </c>
    </row>
    <row r="1778" spans="1:15" hidden="1">
      <c r="A1778" t="s">
        <v>15</v>
      </c>
      <c r="B1778" t="str">
        <f>"FES1162689679"</f>
        <v>FES1162689679</v>
      </c>
      <c r="C1778" s="9">
        <v>43599</v>
      </c>
      <c r="D1778">
        <v>1</v>
      </c>
      <c r="E1778">
        <v>2170686406</v>
      </c>
      <c r="F1778" t="s">
        <v>16</v>
      </c>
      <c r="G1778" t="s">
        <v>17</v>
      </c>
      <c r="H1778" t="s">
        <v>59</v>
      </c>
      <c r="I1778" t="s">
        <v>103</v>
      </c>
      <c r="J1778" t="s">
        <v>2809</v>
      </c>
      <c r="K1778" s="9">
        <v>43600</v>
      </c>
      <c r="L1778" s="10">
        <v>0.4375</v>
      </c>
      <c r="M1778" t="s">
        <v>152</v>
      </c>
      <c r="N1778" t="s">
        <v>2810</v>
      </c>
      <c r="O1778" t="s">
        <v>22</v>
      </c>
    </row>
    <row r="1779" spans="1:15">
      <c r="A1779" s="6" t="s">
        <v>15</v>
      </c>
      <c r="B1779" s="6" t="str">
        <f>"FES1162689709"</f>
        <v>FES1162689709</v>
      </c>
      <c r="C1779" s="7">
        <v>43599</v>
      </c>
      <c r="D1779" s="6">
        <v>1</v>
      </c>
      <c r="E1779" s="6">
        <v>2170686671</v>
      </c>
      <c r="F1779" s="6" t="s">
        <v>16</v>
      </c>
      <c r="G1779" s="6" t="s">
        <v>17</v>
      </c>
      <c r="H1779" s="6" t="s">
        <v>17</v>
      </c>
      <c r="I1779" s="6" t="s">
        <v>64</v>
      </c>
      <c r="J1779" s="6" t="s">
        <v>509</v>
      </c>
      <c r="K1779" s="7">
        <v>43600</v>
      </c>
      <c r="L1779" s="8">
        <v>0.375</v>
      </c>
      <c r="M1779" s="6" t="s">
        <v>2659</v>
      </c>
      <c r="N1779" s="6" t="s">
        <v>21</v>
      </c>
      <c r="O1779" s="6" t="s">
        <v>22</v>
      </c>
    </row>
    <row r="1780" spans="1:15" hidden="1">
      <c r="A1780" t="s">
        <v>15</v>
      </c>
      <c r="B1780" t="str">
        <f>"FES1162689613"</f>
        <v>FES1162689613</v>
      </c>
      <c r="C1780" s="9">
        <v>43599</v>
      </c>
      <c r="D1780">
        <v>1</v>
      </c>
      <c r="E1780">
        <v>2170688153</v>
      </c>
      <c r="F1780" t="s">
        <v>16</v>
      </c>
      <c r="G1780" t="s">
        <v>17</v>
      </c>
      <c r="H1780" t="s">
        <v>43</v>
      </c>
      <c r="I1780" t="s">
        <v>44</v>
      </c>
      <c r="J1780" t="s">
        <v>336</v>
      </c>
      <c r="K1780" s="9">
        <v>43600</v>
      </c>
      <c r="L1780" s="10">
        <v>0.40069444444444446</v>
      </c>
      <c r="M1780" t="s">
        <v>1502</v>
      </c>
      <c r="N1780" t="s">
        <v>2811</v>
      </c>
      <c r="O1780" t="s">
        <v>22</v>
      </c>
    </row>
    <row r="1781" spans="1:15">
      <c r="A1781" s="6" t="s">
        <v>15</v>
      </c>
      <c r="B1781" s="6" t="str">
        <f>"FES1162689703"</f>
        <v>FES1162689703</v>
      </c>
      <c r="C1781" s="7">
        <v>43599</v>
      </c>
      <c r="D1781" s="6">
        <v>1</v>
      </c>
      <c r="E1781" s="6">
        <v>2170686614</v>
      </c>
      <c r="F1781" s="6" t="s">
        <v>16</v>
      </c>
      <c r="G1781" s="6" t="s">
        <v>17</v>
      </c>
      <c r="H1781" s="6" t="s">
        <v>17</v>
      </c>
      <c r="I1781" s="6" t="s">
        <v>18</v>
      </c>
      <c r="J1781" s="6" t="s">
        <v>2812</v>
      </c>
      <c r="K1781" s="7">
        <v>43600</v>
      </c>
      <c r="L1781" s="8">
        <v>0.3743055555555555</v>
      </c>
      <c r="M1781" s="6" t="s">
        <v>2813</v>
      </c>
      <c r="N1781" s="6" t="s">
        <v>21</v>
      </c>
      <c r="O1781" s="6" t="s">
        <v>22</v>
      </c>
    </row>
    <row r="1782" spans="1:15">
      <c r="A1782" s="6" t="s">
        <v>15</v>
      </c>
      <c r="B1782" s="6" t="str">
        <f>"FES1162689600"</f>
        <v>FES1162689600</v>
      </c>
      <c r="C1782" s="7">
        <v>43599</v>
      </c>
      <c r="D1782" s="6">
        <v>1</v>
      </c>
      <c r="E1782" s="6">
        <v>2170687980</v>
      </c>
      <c r="F1782" s="6" t="s">
        <v>16</v>
      </c>
      <c r="G1782" s="6" t="s">
        <v>17</v>
      </c>
      <c r="H1782" s="6" t="s">
        <v>17</v>
      </c>
      <c r="I1782" s="6" t="s">
        <v>23</v>
      </c>
      <c r="J1782" s="6" t="s">
        <v>106</v>
      </c>
      <c r="K1782" s="7">
        <v>43600</v>
      </c>
      <c r="L1782" s="8">
        <v>0.33333333333333331</v>
      </c>
      <c r="M1782" s="6" t="s">
        <v>107</v>
      </c>
      <c r="N1782" s="6" t="s">
        <v>21</v>
      </c>
      <c r="O1782" s="6" t="s">
        <v>22</v>
      </c>
    </row>
    <row r="1783" spans="1:15">
      <c r="A1783" s="6" t="s">
        <v>15</v>
      </c>
      <c r="B1783" s="6" t="str">
        <f>"FES1162689698"</f>
        <v>FES1162689698</v>
      </c>
      <c r="C1783" s="7">
        <v>43599</v>
      </c>
      <c r="D1783" s="6">
        <v>1</v>
      </c>
      <c r="E1783" s="6">
        <v>2170686548</v>
      </c>
      <c r="F1783" s="6" t="s">
        <v>16</v>
      </c>
      <c r="G1783" s="6" t="s">
        <v>17</v>
      </c>
      <c r="H1783" s="6" t="s">
        <v>17</v>
      </c>
      <c r="I1783" s="6" t="s">
        <v>421</v>
      </c>
      <c r="J1783" s="6" t="s">
        <v>885</v>
      </c>
      <c r="K1783" s="7">
        <v>43600</v>
      </c>
      <c r="L1783" s="8">
        <v>0.33333333333333331</v>
      </c>
      <c r="M1783" s="6" t="s">
        <v>2617</v>
      </c>
      <c r="N1783" s="6" t="s">
        <v>21</v>
      </c>
      <c r="O1783" s="6" t="s">
        <v>22</v>
      </c>
    </row>
    <row r="1784" spans="1:15">
      <c r="A1784" s="6" t="s">
        <v>15</v>
      </c>
      <c r="B1784" s="6" t="str">
        <f>"FES1162689664"</f>
        <v>FES1162689664</v>
      </c>
      <c r="C1784" s="7">
        <v>43599</v>
      </c>
      <c r="D1784" s="6">
        <v>1</v>
      </c>
      <c r="E1784" s="6">
        <v>2170687680</v>
      </c>
      <c r="F1784" s="6" t="s">
        <v>16</v>
      </c>
      <c r="G1784" s="6" t="s">
        <v>17</v>
      </c>
      <c r="H1784" s="6" t="s">
        <v>17</v>
      </c>
      <c r="I1784" s="6" t="s">
        <v>18</v>
      </c>
      <c r="J1784" s="6" t="s">
        <v>408</v>
      </c>
      <c r="K1784" s="7">
        <v>43600</v>
      </c>
      <c r="L1784" s="8">
        <v>0.35069444444444442</v>
      </c>
      <c r="M1784" s="6" t="s">
        <v>1726</v>
      </c>
      <c r="N1784" s="6" t="s">
        <v>21</v>
      </c>
      <c r="O1784" s="6" t="s">
        <v>22</v>
      </c>
    </row>
    <row r="1785" spans="1:15">
      <c r="A1785" s="6" t="s">
        <v>15</v>
      </c>
      <c r="B1785" s="6" t="str">
        <f>"FES1162689705"</f>
        <v>FES1162689705</v>
      </c>
      <c r="C1785" s="7">
        <v>43599</v>
      </c>
      <c r="D1785" s="6">
        <v>1</v>
      </c>
      <c r="E1785" s="6">
        <v>2170686624</v>
      </c>
      <c r="F1785" s="6" t="s">
        <v>16</v>
      </c>
      <c r="G1785" s="6" t="s">
        <v>17</v>
      </c>
      <c r="H1785" s="6" t="s">
        <v>17</v>
      </c>
      <c r="I1785" s="6" t="s">
        <v>64</v>
      </c>
      <c r="J1785" s="6" t="s">
        <v>116</v>
      </c>
      <c r="K1785" s="7">
        <v>43600</v>
      </c>
      <c r="L1785" s="8">
        <v>0.43055555555555558</v>
      </c>
      <c r="M1785" s="6" t="s">
        <v>2594</v>
      </c>
      <c r="N1785" s="6" t="s">
        <v>21</v>
      </c>
      <c r="O1785" s="6" t="s">
        <v>22</v>
      </c>
    </row>
    <row r="1786" spans="1:15" hidden="1">
      <c r="A1786" t="s">
        <v>15</v>
      </c>
      <c r="B1786" t="str">
        <f>"FES1162689766"</f>
        <v>FES1162689766</v>
      </c>
      <c r="C1786" s="9">
        <v>43599</v>
      </c>
      <c r="D1786">
        <v>1</v>
      </c>
      <c r="E1786">
        <v>2170688248</v>
      </c>
      <c r="F1786" t="s">
        <v>16</v>
      </c>
      <c r="G1786" t="s">
        <v>17</v>
      </c>
      <c r="H1786" t="s">
        <v>43</v>
      </c>
      <c r="I1786" t="s">
        <v>44</v>
      </c>
      <c r="J1786" t="s">
        <v>1890</v>
      </c>
      <c r="K1786" s="9">
        <v>43600</v>
      </c>
      <c r="L1786" s="10">
        <v>0.41666666666666669</v>
      </c>
      <c r="M1786" t="s">
        <v>1082</v>
      </c>
      <c r="N1786" t="s">
        <v>2814</v>
      </c>
      <c r="O1786" t="s">
        <v>22</v>
      </c>
    </row>
    <row r="1787" spans="1:15" hidden="1">
      <c r="A1787" t="s">
        <v>15</v>
      </c>
      <c r="B1787" t="str">
        <f>"FES1162689816"</f>
        <v>FES1162689816</v>
      </c>
      <c r="C1787" s="9">
        <v>43599</v>
      </c>
      <c r="D1787">
        <v>1</v>
      </c>
      <c r="E1787">
        <v>2170688307</v>
      </c>
      <c r="F1787" t="s">
        <v>16</v>
      </c>
      <c r="G1787" t="s">
        <v>17</v>
      </c>
      <c r="H1787" t="s">
        <v>141</v>
      </c>
      <c r="I1787" t="s">
        <v>142</v>
      </c>
      <c r="J1787" t="s">
        <v>213</v>
      </c>
      <c r="K1787" s="9">
        <v>43600</v>
      </c>
      <c r="L1787" s="10">
        <v>0.38541666666666669</v>
      </c>
      <c r="M1787" t="s">
        <v>214</v>
      </c>
      <c r="N1787" t="s">
        <v>2815</v>
      </c>
      <c r="O1787" t="s">
        <v>22</v>
      </c>
    </row>
    <row r="1788" spans="1:15" hidden="1">
      <c r="A1788" t="s">
        <v>15</v>
      </c>
      <c r="B1788" t="str">
        <f>"FES1162689749"</f>
        <v>FES1162689749</v>
      </c>
      <c r="C1788" s="9">
        <v>43599</v>
      </c>
      <c r="D1788">
        <v>1</v>
      </c>
      <c r="E1788">
        <v>2170688231</v>
      </c>
      <c r="F1788" t="s">
        <v>16</v>
      </c>
      <c r="G1788" t="s">
        <v>17</v>
      </c>
      <c r="H1788" t="s">
        <v>132</v>
      </c>
      <c r="I1788" t="s">
        <v>133</v>
      </c>
      <c r="J1788" t="s">
        <v>238</v>
      </c>
      <c r="K1788" s="9">
        <v>43600</v>
      </c>
      <c r="L1788" s="10">
        <v>0.35416666666666669</v>
      </c>
      <c r="M1788" t="s">
        <v>989</v>
      </c>
      <c r="N1788" t="s">
        <v>2816</v>
      </c>
      <c r="O1788" t="s">
        <v>22</v>
      </c>
    </row>
    <row r="1789" spans="1:15">
      <c r="A1789" s="6" t="s">
        <v>15</v>
      </c>
      <c r="B1789" s="6" t="str">
        <f>"FES1162689755"</f>
        <v>FES1162689755</v>
      </c>
      <c r="C1789" s="7">
        <v>43599</v>
      </c>
      <c r="D1789" s="6">
        <v>1</v>
      </c>
      <c r="E1789" s="6">
        <v>2170688238</v>
      </c>
      <c r="F1789" s="6" t="s">
        <v>16</v>
      </c>
      <c r="G1789" s="6" t="s">
        <v>17</v>
      </c>
      <c r="H1789" s="6" t="s">
        <v>17</v>
      </c>
      <c r="I1789" s="6" t="s">
        <v>64</v>
      </c>
      <c r="J1789" s="6" t="s">
        <v>2379</v>
      </c>
      <c r="K1789" s="7">
        <v>43600</v>
      </c>
      <c r="L1789" s="8">
        <v>0.43402777777777773</v>
      </c>
      <c r="M1789" s="6" t="s">
        <v>2817</v>
      </c>
      <c r="N1789" s="6" t="s">
        <v>21</v>
      </c>
      <c r="O1789" s="6" t="s">
        <v>22</v>
      </c>
    </row>
    <row r="1790" spans="1:15">
      <c r="A1790" s="6" t="s">
        <v>15</v>
      </c>
      <c r="B1790" s="6" t="str">
        <f>"FES1162689833"</f>
        <v>FES1162689833</v>
      </c>
      <c r="C1790" s="7">
        <v>43599</v>
      </c>
      <c r="D1790" s="6">
        <v>1</v>
      </c>
      <c r="E1790" s="6">
        <v>2170688327</v>
      </c>
      <c r="F1790" s="6" t="s">
        <v>16</v>
      </c>
      <c r="G1790" s="6" t="s">
        <v>17</v>
      </c>
      <c r="H1790" s="6" t="s">
        <v>17</v>
      </c>
      <c r="I1790" s="6" t="s">
        <v>103</v>
      </c>
      <c r="J1790" s="6" t="s">
        <v>2818</v>
      </c>
      <c r="K1790" s="7">
        <v>43600</v>
      </c>
      <c r="L1790" s="8">
        <v>0.4375</v>
      </c>
      <c r="M1790" s="6" t="s">
        <v>152</v>
      </c>
      <c r="N1790" s="6" t="s">
        <v>21</v>
      </c>
      <c r="O1790" s="6" t="s">
        <v>22</v>
      </c>
    </row>
    <row r="1791" spans="1:15" hidden="1">
      <c r="A1791" t="s">
        <v>15</v>
      </c>
      <c r="B1791" t="str">
        <f>"FES1162689802"</f>
        <v>FES1162689802</v>
      </c>
      <c r="C1791" s="9">
        <v>43599</v>
      </c>
      <c r="D1791">
        <v>1</v>
      </c>
      <c r="E1791">
        <v>2170688295</v>
      </c>
      <c r="F1791" t="s">
        <v>16</v>
      </c>
      <c r="G1791" t="s">
        <v>17</v>
      </c>
      <c r="H1791" t="s">
        <v>290</v>
      </c>
      <c r="I1791" t="s">
        <v>291</v>
      </c>
      <c r="J1791" t="s">
        <v>297</v>
      </c>
      <c r="K1791" s="9">
        <v>43600</v>
      </c>
      <c r="L1791" s="10">
        <v>0.34861111111111115</v>
      </c>
      <c r="M1791" t="s">
        <v>298</v>
      </c>
      <c r="N1791" t="s">
        <v>2819</v>
      </c>
      <c r="O1791" t="s">
        <v>22</v>
      </c>
    </row>
    <row r="1792" spans="1:15">
      <c r="A1792" s="6" t="s">
        <v>15</v>
      </c>
      <c r="B1792" s="6" t="str">
        <f>"FES1162689748"</f>
        <v>FES1162689748</v>
      </c>
      <c r="C1792" s="7">
        <v>43599</v>
      </c>
      <c r="D1792" s="6">
        <v>1</v>
      </c>
      <c r="E1792" s="6">
        <v>2170688228</v>
      </c>
      <c r="F1792" s="6" t="s">
        <v>16</v>
      </c>
      <c r="G1792" s="6" t="s">
        <v>17</v>
      </c>
      <c r="H1792" s="6" t="s">
        <v>17</v>
      </c>
      <c r="I1792" s="6" t="s">
        <v>18</v>
      </c>
      <c r="J1792" s="6" t="s">
        <v>2820</v>
      </c>
      <c r="K1792" s="7">
        <v>43600</v>
      </c>
      <c r="L1792" s="8">
        <v>0.3263888888888889</v>
      </c>
      <c r="M1792" s="6" t="s">
        <v>2821</v>
      </c>
      <c r="N1792" s="6" t="s">
        <v>21</v>
      </c>
      <c r="O1792" s="6" t="s">
        <v>22</v>
      </c>
    </row>
    <row r="1793" spans="1:15" hidden="1">
      <c r="A1793" t="s">
        <v>15</v>
      </c>
      <c r="B1793" t="str">
        <f>"FES1162689787"</f>
        <v>FES1162689787</v>
      </c>
      <c r="C1793" s="9">
        <v>43599</v>
      </c>
      <c r="D1793">
        <v>1</v>
      </c>
      <c r="E1793">
        <v>2170688278</v>
      </c>
      <c r="F1793" t="s">
        <v>16</v>
      </c>
      <c r="G1793" t="s">
        <v>17</v>
      </c>
      <c r="H1793" t="s">
        <v>300</v>
      </c>
      <c r="I1793" t="s">
        <v>1553</v>
      </c>
      <c r="J1793" t="s">
        <v>2822</v>
      </c>
      <c r="K1793" s="9">
        <v>43600</v>
      </c>
      <c r="L1793" s="10">
        <v>0.37222222222222223</v>
      </c>
      <c r="M1793" t="s">
        <v>2823</v>
      </c>
      <c r="N1793" t="s">
        <v>2824</v>
      </c>
      <c r="O1793" t="s">
        <v>22</v>
      </c>
    </row>
    <row r="1794" spans="1:15">
      <c r="A1794" s="6" t="s">
        <v>15</v>
      </c>
      <c r="B1794" s="6" t="str">
        <f>"FES1162689715"</f>
        <v>FES1162689715</v>
      </c>
      <c r="C1794" s="7">
        <v>43599</v>
      </c>
      <c r="D1794" s="6">
        <v>1</v>
      </c>
      <c r="E1794" s="6">
        <v>2170686755</v>
      </c>
      <c r="F1794" s="6" t="s">
        <v>16</v>
      </c>
      <c r="G1794" s="6" t="s">
        <v>17</v>
      </c>
      <c r="H1794" s="6" t="s">
        <v>17</v>
      </c>
      <c r="I1794" s="6" t="s">
        <v>64</v>
      </c>
      <c r="J1794" s="6" t="s">
        <v>2825</v>
      </c>
      <c r="K1794" s="7">
        <v>43600</v>
      </c>
      <c r="L1794" s="8">
        <v>0.33333333333333331</v>
      </c>
      <c r="M1794" s="6" t="s">
        <v>31</v>
      </c>
      <c r="N1794" s="6" t="s">
        <v>21</v>
      </c>
      <c r="O1794" s="6" t="s">
        <v>22</v>
      </c>
    </row>
    <row r="1795" spans="1:15">
      <c r="A1795" s="6" t="s">
        <v>15</v>
      </c>
      <c r="B1795" s="6" t="str">
        <f>"FES1162689581"</f>
        <v>FES1162689581</v>
      </c>
      <c r="C1795" s="7">
        <v>43599</v>
      </c>
      <c r="D1795" s="6">
        <v>1</v>
      </c>
      <c r="E1795" s="6">
        <v>2170686955</v>
      </c>
      <c r="F1795" s="6" t="s">
        <v>16</v>
      </c>
      <c r="G1795" s="6" t="s">
        <v>17</v>
      </c>
      <c r="H1795" s="6" t="s">
        <v>17</v>
      </c>
      <c r="I1795" s="6" t="s">
        <v>23</v>
      </c>
      <c r="J1795" s="6" t="s">
        <v>483</v>
      </c>
      <c r="K1795" s="7">
        <v>43600</v>
      </c>
      <c r="L1795" s="8">
        <v>0.34722222222222227</v>
      </c>
      <c r="M1795" s="6" t="s">
        <v>100</v>
      </c>
      <c r="N1795" s="6" t="s">
        <v>21</v>
      </c>
      <c r="O1795" s="6" t="s">
        <v>22</v>
      </c>
    </row>
    <row r="1796" spans="1:15" hidden="1">
      <c r="A1796" t="s">
        <v>15</v>
      </c>
      <c r="B1796" t="str">
        <f>"FES1162689713"</f>
        <v>FES1162689713</v>
      </c>
      <c r="C1796" s="9">
        <v>43599</v>
      </c>
      <c r="D1796">
        <v>1</v>
      </c>
      <c r="E1796">
        <v>2170686750</v>
      </c>
      <c r="F1796" t="s">
        <v>16</v>
      </c>
      <c r="G1796" t="s">
        <v>17</v>
      </c>
      <c r="H1796" t="s">
        <v>43</v>
      </c>
      <c r="I1796" t="s">
        <v>44</v>
      </c>
      <c r="J1796" t="s">
        <v>924</v>
      </c>
      <c r="K1796" s="9">
        <v>43600</v>
      </c>
      <c r="L1796" s="10">
        <v>0.41666666666666669</v>
      </c>
      <c r="M1796" t="s">
        <v>2826</v>
      </c>
      <c r="N1796" t="s">
        <v>2827</v>
      </c>
      <c r="O1796" t="s">
        <v>22</v>
      </c>
    </row>
    <row r="1797" spans="1:15" hidden="1">
      <c r="A1797" t="s">
        <v>15</v>
      </c>
      <c r="B1797" t="str">
        <f>"FES1162689612"</f>
        <v>FES1162689612</v>
      </c>
      <c r="C1797" s="9">
        <v>43599</v>
      </c>
      <c r="D1797">
        <v>1</v>
      </c>
      <c r="E1797">
        <v>2170688152</v>
      </c>
      <c r="F1797" t="s">
        <v>16</v>
      </c>
      <c r="G1797" t="s">
        <v>17</v>
      </c>
      <c r="H1797" t="s">
        <v>43</v>
      </c>
      <c r="I1797" t="s">
        <v>44</v>
      </c>
      <c r="J1797" t="s">
        <v>336</v>
      </c>
      <c r="K1797" s="9">
        <v>43600</v>
      </c>
      <c r="L1797" s="10">
        <v>0.35902777777777778</v>
      </c>
      <c r="M1797" t="s">
        <v>1502</v>
      </c>
      <c r="N1797" t="s">
        <v>2828</v>
      </c>
      <c r="O1797" t="s">
        <v>22</v>
      </c>
    </row>
    <row r="1798" spans="1:15" hidden="1">
      <c r="A1798" t="s">
        <v>15</v>
      </c>
      <c r="B1798" t="str">
        <f>"FES1162689835"</f>
        <v>FES1162689835</v>
      </c>
      <c r="C1798" s="9">
        <v>43599</v>
      </c>
      <c r="D1798">
        <v>1</v>
      </c>
      <c r="E1798">
        <v>2170668255</v>
      </c>
      <c r="F1798" t="s">
        <v>16</v>
      </c>
      <c r="G1798" t="s">
        <v>17</v>
      </c>
      <c r="H1798" t="s">
        <v>43</v>
      </c>
      <c r="I1798" t="s">
        <v>54</v>
      </c>
      <c r="J1798" t="s">
        <v>55</v>
      </c>
      <c r="K1798" s="9">
        <v>43600</v>
      </c>
      <c r="L1798" s="10">
        <v>0.41666666666666669</v>
      </c>
      <c r="M1798" t="s">
        <v>2829</v>
      </c>
      <c r="N1798" t="s">
        <v>2830</v>
      </c>
      <c r="O1798" t="s">
        <v>22</v>
      </c>
    </row>
    <row r="1799" spans="1:15" hidden="1">
      <c r="A1799" t="s">
        <v>15</v>
      </c>
      <c r="B1799" t="str">
        <f>"FES1162689756"</f>
        <v>FES1162689756</v>
      </c>
      <c r="C1799" s="9">
        <v>43599</v>
      </c>
      <c r="D1799">
        <v>1</v>
      </c>
      <c r="E1799">
        <v>2170688240</v>
      </c>
      <c r="F1799" t="s">
        <v>16</v>
      </c>
      <c r="G1799" t="s">
        <v>17</v>
      </c>
      <c r="H1799" t="s">
        <v>141</v>
      </c>
      <c r="I1799" t="s">
        <v>142</v>
      </c>
      <c r="J1799" t="s">
        <v>143</v>
      </c>
      <c r="K1799" s="9">
        <v>43600</v>
      </c>
      <c r="L1799" s="10">
        <v>0.42986111111111108</v>
      </c>
      <c r="M1799" t="s">
        <v>903</v>
      </c>
      <c r="N1799" t="s">
        <v>2831</v>
      </c>
      <c r="O1799" t="s">
        <v>22</v>
      </c>
    </row>
    <row r="1800" spans="1:15" hidden="1">
      <c r="A1800" t="s">
        <v>15</v>
      </c>
      <c r="B1800" t="str">
        <f>"FES1162689769"</f>
        <v>FES1162689769</v>
      </c>
      <c r="C1800" s="9">
        <v>43599</v>
      </c>
      <c r="D1800">
        <v>1</v>
      </c>
      <c r="E1800">
        <v>2170688251</v>
      </c>
      <c r="F1800" t="s">
        <v>16</v>
      </c>
      <c r="G1800" t="s">
        <v>17</v>
      </c>
      <c r="H1800" t="s">
        <v>43</v>
      </c>
      <c r="I1800" t="s">
        <v>44</v>
      </c>
      <c r="J1800" t="s">
        <v>748</v>
      </c>
      <c r="K1800" s="9">
        <v>43600</v>
      </c>
      <c r="L1800" s="10">
        <v>0.41666666666666669</v>
      </c>
      <c r="M1800" t="s">
        <v>1194</v>
      </c>
      <c r="N1800" t="s">
        <v>2832</v>
      </c>
      <c r="O1800" t="s">
        <v>22</v>
      </c>
    </row>
    <row r="1801" spans="1:15" hidden="1">
      <c r="A1801" t="s">
        <v>15</v>
      </c>
      <c r="B1801" t="str">
        <f>"FES1162689774"</f>
        <v>FES1162689774</v>
      </c>
      <c r="C1801" s="9">
        <v>43599</v>
      </c>
      <c r="D1801">
        <v>1</v>
      </c>
      <c r="E1801">
        <v>2170686907</v>
      </c>
      <c r="F1801" t="s">
        <v>16</v>
      </c>
      <c r="G1801" t="s">
        <v>17</v>
      </c>
      <c r="H1801" t="s">
        <v>43</v>
      </c>
      <c r="I1801" t="s">
        <v>54</v>
      </c>
      <c r="J1801" t="s">
        <v>216</v>
      </c>
      <c r="K1801" s="9">
        <v>43600</v>
      </c>
      <c r="L1801" s="10">
        <v>0.41666666666666669</v>
      </c>
      <c r="M1801" t="s">
        <v>646</v>
      </c>
      <c r="N1801" t="s">
        <v>2833</v>
      </c>
      <c r="O1801" t="s">
        <v>22</v>
      </c>
    </row>
    <row r="1802" spans="1:15">
      <c r="A1802" s="6" t="s">
        <v>15</v>
      </c>
      <c r="B1802" s="6" t="str">
        <f>"FES1162689815"</f>
        <v>FES1162689815</v>
      </c>
      <c r="C1802" s="7">
        <v>43599</v>
      </c>
      <c r="D1802" s="6">
        <v>1</v>
      </c>
      <c r="E1802" s="6">
        <v>2170688306</v>
      </c>
      <c r="F1802" s="6" t="s">
        <v>16</v>
      </c>
      <c r="G1802" s="6" t="s">
        <v>17</v>
      </c>
      <c r="H1802" s="6" t="s">
        <v>17</v>
      </c>
      <c r="I1802" s="6" t="s">
        <v>23</v>
      </c>
      <c r="J1802" s="6" t="s">
        <v>146</v>
      </c>
      <c r="K1802" s="7">
        <v>43600</v>
      </c>
      <c r="L1802" s="8">
        <v>0.34375</v>
      </c>
      <c r="M1802" s="6" t="s">
        <v>2834</v>
      </c>
      <c r="N1802" s="6" t="s">
        <v>21</v>
      </c>
      <c r="O1802" s="6" t="s">
        <v>22</v>
      </c>
    </row>
    <row r="1803" spans="1:15" hidden="1">
      <c r="A1803" t="s">
        <v>15</v>
      </c>
      <c r="B1803" t="str">
        <f>"FES1162689663"</f>
        <v>FES1162689663</v>
      </c>
      <c r="C1803" s="9">
        <v>43599</v>
      </c>
      <c r="D1803">
        <v>1</v>
      </c>
      <c r="E1803">
        <v>2170688010</v>
      </c>
      <c r="F1803" t="s">
        <v>16</v>
      </c>
      <c r="G1803" t="s">
        <v>17</v>
      </c>
      <c r="H1803" t="s">
        <v>887</v>
      </c>
      <c r="I1803" t="s">
        <v>2835</v>
      </c>
      <c r="J1803" t="s">
        <v>2836</v>
      </c>
      <c r="K1803" s="9">
        <v>43600</v>
      </c>
      <c r="L1803" s="10">
        <v>0.47222222222222227</v>
      </c>
      <c r="M1803" t="s">
        <v>2837</v>
      </c>
      <c r="N1803" t="s">
        <v>2838</v>
      </c>
      <c r="O1803" t="s">
        <v>22</v>
      </c>
    </row>
    <row r="1804" spans="1:15">
      <c r="A1804" s="6" t="s">
        <v>15</v>
      </c>
      <c r="B1804" s="6" t="str">
        <f>"009935723267"</f>
        <v>009935723267</v>
      </c>
      <c r="C1804" s="7">
        <v>43599</v>
      </c>
      <c r="D1804" s="6">
        <v>1</v>
      </c>
      <c r="E1804" s="6">
        <v>1162686155</v>
      </c>
      <c r="F1804" s="6" t="s">
        <v>16</v>
      </c>
      <c r="G1804" s="6" t="s">
        <v>17</v>
      </c>
      <c r="H1804" s="6" t="s">
        <v>17</v>
      </c>
      <c r="I1804" s="6" t="s">
        <v>103</v>
      </c>
      <c r="J1804" s="6" t="s">
        <v>2839</v>
      </c>
      <c r="K1804" s="7">
        <v>43601</v>
      </c>
      <c r="L1804" s="8">
        <v>0.47152777777777777</v>
      </c>
      <c r="M1804" s="6" t="s">
        <v>969</v>
      </c>
      <c r="N1804" s="6" t="s">
        <v>21</v>
      </c>
      <c r="O1804" s="6" t="s">
        <v>22</v>
      </c>
    </row>
    <row r="1805" spans="1:15" hidden="1">
      <c r="A1805" t="s">
        <v>15</v>
      </c>
      <c r="B1805" t="str">
        <f>"009935723268"</f>
        <v>009935723268</v>
      </c>
      <c r="C1805" s="9">
        <v>43599</v>
      </c>
      <c r="D1805">
        <v>1</v>
      </c>
      <c r="E1805">
        <v>1162678385</v>
      </c>
      <c r="F1805" t="s">
        <v>16</v>
      </c>
      <c r="G1805" t="s">
        <v>17</v>
      </c>
      <c r="H1805" t="s">
        <v>141</v>
      </c>
      <c r="I1805" t="s">
        <v>142</v>
      </c>
      <c r="J1805" t="s">
        <v>228</v>
      </c>
      <c r="K1805" s="9">
        <v>43600</v>
      </c>
      <c r="L1805" s="10">
        <v>0.38958333333333334</v>
      </c>
      <c r="M1805" t="s">
        <v>229</v>
      </c>
      <c r="N1805" t="s">
        <v>2840</v>
      </c>
      <c r="O1805" t="s">
        <v>2841</v>
      </c>
    </row>
    <row r="1806" spans="1:15">
      <c r="A1806" s="6" t="s">
        <v>15</v>
      </c>
      <c r="B1806" s="6" t="str">
        <f>"FES1162689808"</f>
        <v>FES1162689808</v>
      </c>
      <c r="C1806" s="7">
        <v>43599</v>
      </c>
      <c r="D1806" s="6">
        <v>1</v>
      </c>
      <c r="E1806" s="6">
        <v>2170689808</v>
      </c>
      <c r="F1806" s="6" t="s">
        <v>16</v>
      </c>
      <c r="G1806" s="6" t="s">
        <v>17</v>
      </c>
      <c r="H1806" s="6" t="s">
        <v>17</v>
      </c>
      <c r="I1806" s="6" t="s">
        <v>103</v>
      </c>
      <c r="J1806" s="6" t="s">
        <v>108</v>
      </c>
      <c r="K1806" s="7">
        <v>43600</v>
      </c>
      <c r="L1806" s="8">
        <v>0.33333333333333331</v>
      </c>
      <c r="M1806" s="6" t="s">
        <v>2842</v>
      </c>
      <c r="N1806" s="6" t="s">
        <v>21</v>
      </c>
      <c r="O1806" s="6" t="s">
        <v>22</v>
      </c>
    </row>
    <row r="1807" spans="1:15">
      <c r="A1807" s="6" t="s">
        <v>15</v>
      </c>
      <c r="B1807" s="6" t="str">
        <f>"FES1162689824"</f>
        <v>FES1162689824</v>
      </c>
      <c r="C1807" s="7">
        <v>43599</v>
      </c>
      <c r="D1807" s="6">
        <v>1</v>
      </c>
      <c r="E1807" s="6">
        <v>217688318</v>
      </c>
      <c r="F1807" s="6" t="s">
        <v>16</v>
      </c>
      <c r="G1807" s="6" t="s">
        <v>17</v>
      </c>
      <c r="H1807" s="6" t="s">
        <v>17</v>
      </c>
      <c r="I1807" s="6" t="s">
        <v>23</v>
      </c>
      <c r="J1807" s="6" t="s">
        <v>24</v>
      </c>
      <c r="K1807" s="7">
        <v>43600</v>
      </c>
      <c r="L1807" s="8">
        <v>0.4236111111111111</v>
      </c>
      <c r="M1807" s="6" t="s">
        <v>2843</v>
      </c>
      <c r="N1807" s="6" t="s">
        <v>21</v>
      </c>
      <c r="O1807" s="6" t="s">
        <v>22</v>
      </c>
    </row>
    <row r="1808" spans="1:15">
      <c r="A1808" s="6" t="s">
        <v>15</v>
      </c>
      <c r="B1808" s="6" t="str">
        <f>"FES1162689782"</f>
        <v>FES1162689782</v>
      </c>
      <c r="C1808" s="7">
        <v>43599</v>
      </c>
      <c r="D1808" s="6">
        <v>1</v>
      </c>
      <c r="E1808" s="6">
        <v>2170688274</v>
      </c>
      <c r="F1808" s="6" t="s">
        <v>16</v>
      </c>
      <c r="G1808" s="6" t="s">
        <v>17</v>
      </c>
      <c r="H1808" s="6" t="s">
        <v>17</v>
      </c>
      <c r="I1808" s="6" t="s">
        <v>701</v>
      </c>
      <c r="J1808" s="6" t="s">
        <v>1379</v>
      </c>
      <c r="K1808" s="7">
        <v>43600</v>
      </c>
      <c r="L1808" s="8">
        <v>0.35416666666666669</v>
      </c>
      <c r="M1808" s="6" t="s">
        <v>2844</v>
      </c>
      <c r="N1808" s="6" t="s">
        <v>21</v>
      </c>
      <c r="O1808" s="6" t="s">
        <v>22</v>
      </c>
    </row>
    <row r="1809" spans="1:15">
      <c r="A1809" s="6" t="s">
        <v>15</v>
      </c>
      <c r="B1809" s="6" t="str">
        <f>"FES1162689812"</f>
        <v>FES1162689812</v>
      </c>
      <c r="C1809" s="7">
        <v>43599</v>
      </c>
      <c r="D1809" s="6">
        <v>1</v>
      </c>
      <c r="E1809" s="6">
        <v>2170688303</v>
      </c>
      <c r="F1809" s="6" t="s">
        <v>16</v>
      </c>
      <c r="G1809" s="6" t="s">
        <v>17</v>
      </c>
      <c r="H1809" s="6" t="s">
        <v>17</v>
      </c>
      <c r="I1809" s="6" t="s">
        <v>64</v>
      </c>
      <c r="J1809" s="6" t="s">
        <v>98</v>
      </c>
      <c r="K1809" s="7">
        <v>43600</v>
      </c>
      <c r="L1809" s="8">
        <v>0.39305555555555555</v>
      </c>
      <c r="M1809" s="6" t="s">
        <v>2845</v>
      </c>
      <c r="N1809" s="6" t="s">
        <v>21</v>
      </c>
      <c r="O1809" s="6" t="s">
        <v>22</v>
      </c>
    </row>
    <row r="1810" spans="1:15">
      <c r="A1810" s="6" t="s">
        <v>15</v>
      </c>
      <c r="B1810" s="6" t="str">
        <f>"FES1162689779"</f>
        <v>FES1162689779</v>
      </c>
      <c r="C1810" s="7">
        <v>43599</v>
      </c>
      <c r="D1810" s="6">
        <v>1</v>
      </c>
      <c r="E1810" s="6">
        <v>2170688271</v>
      </c>
      <c r="F1810" s="6" t="s">
        <v>16</v>
      </c>
      <c r="G1810" s="6" t="s">
        <v>17</v>
      </c>
      <c r="H1810" s="6" t="s">
        <v>17</v>
      </c>
      <c r="I1810" s="6" t="s">
        <v>64</v>
      </c>
      <c r="J1810" s="6" t="s">
        <v>486</v>
      </c>
      <c r="K1810" s="7">
        <v>43600</v>
      </c>
      <c r="L1810" s="8">
        <v>0.4201388888888889</v>
      </c>
      <c r="M1810" s="6" t="s">
        <v>2846</v>
      </c>
      <c r="N1810" s="6" t="s">
        <v>21</v>
      </c>
      <c r="O1810" s="6" t="s">
        <v>22</v>
      </c>
    </row>
    <row r="1811" spans="1:15">
      <c r="A1811" s="6" t="s">
        <v>15</v>
      </c>
      <c r="B1811" s="6" t="str">
        <f>"FES1162689838"</f>
        <v>FES1162689838</v>
      </c>
      <c r="C1811" s="7">
        <v>43599</v>
      </c>
      <c r="D1811" s="6">
        <v>1</v>
      </c>
      <c r="E1811" s="6">
        <v>2170689838</v>
      </c>
      <c r="F1811" s="6" t="s">
        <v>16</v>
      </c>
      <c r="G1811" s="6" t="s">
        <v>17</v>
      </c>
      <c r="H1811" s="6" t="s">
        <v>17</v>
      </c>
      <c r="I1811" s="6" t="s">
        <v>18</v>
      </c>
      <c r="J1811" s="6" t="s">
        <v>2847</v>
      </c>
      <c r="K1811" s="7">
        <v>43600</v>
      </c>
      <c r="L1811" s="8">
        <v>0.39097222222222222</v>
      </c>
      <c r="M1811" s="6" t="s">
        <v>481</v>
      </c>
      <c r="N1811" s="6" t="s">
        <v>21</v>
      </c>
      <c r="O1811" s="6" t="s">
        <v>22</v>
      </c>
    </row>
    <row r="1812" spans="1:15">
      <c r="A1812" s="6" t="s">
        <v>15</v>
      </c>
      <c r="B1812" s="6" t="str">
        <f>"FES1162689817"</f>
        <v>FES1162689817</v>
      </c>
      <c r="C1812" s="7">
        <v>43599</v>
      </c>
      <c r="D1812" s="6">
        <v>1</v>
      </c>
      <c r="E1812" s="6">
        <v>2170688308</v>
      </c>
      <c r="F1812" s="6" t="s">
        <v>16</v>
      </c>
      <c r="G1812" s="6" t="s">
        <v>17</v>
      </c>
      <c r="H1812" s="6" t="s">
        <v>17</v>
      </c>
      <c r="I1812" s="6" t="s">
        <v>23</v>
      </c>
      <c r="J1812" s="6" t="s">
        <v>2848</v>
      </c>
      <c r="K1812" s="7">
        <v>43600</v>
      </c>
      <c r="L1812" s="8">
        <v>0.34375</v>
      </c>
      <c r="M1812" s="6" t="s">
        <v>2834</v>
      </c>
      <c r="N1812" s="6" t="s">
        <v>21</v>
      </c>
      <c r="O1812" s="6" t="s">
        <v>22</v>
      </c>
    </row>
    <row r="1813" spans="1:15" hidden="1">
      <c r="A1813" t="s">
        <v>15</v>
      </c>
      <c r="B1813" t="str">
        <f>"FES1162689801"</f>
        <v>FES1162689801</v>
      </c>
      <c r="C1813" s="9">
        <v>43599</v>
      </c>
      <c r="D1813">
        <v>1</v>
      </c>
      <c r="E1813">
        <v>2170688294</v>
      </c>
      <c r="F1813" t="s">
        <v>16</v>
      </c>
      <c r="G1813" t="s">
        <v>17</v>
      </c>
      <c r="H1813" t="s">
        <v>59</v>
      </c>
      <c r="I1813" t="s">
        <v>18</v>
      </c>
      <c r="J1813" t="s">
        <v>19</v>
      </c>
      <c r="K1813" s="9">
        <v>43600</v>
      </c>
      <c r="L1813" s="10">
        <v>0.41666666666666669</v>
      </c>
      <c r="M1813" t="s">
        <v>1327</v>
      </c>
      <c r="N1813" t="s">
        <v>2849</v>
      </c>
      <c r="O1813" t="s">
        <v>22</v>
      </c>
    </row>
    <row r="1814" spans="1:15" hidden="1">
      <c r="A1814" t="s">
        <v>15</v>
      </c>
      <c r="B1814" t="str">
        <f>"FES1162689844"</f>
        <v>FES1162689844</v>
      </c>
      <c r="C1814" s="9">
        <v>43599</v>
      </c>
      <c r="D1814">
        <v>1</v>
      </c>
      <c r="E1814">
        <v>2170688333</v>
      </c>
      <c r="F1814" t="s">
        <v>16</v>
      </c>
      <c r="G1814" t="s">
        <v>17</v>
      </c>
      <c r="H1814" t="s">
        <v>59</v>
      </c>
      <c r="I1814" t="s">
        <v>103</v>
      </c>
      <c r="J1814" t="s">
        <v>616</v>
      </c>
      <c r="K1814" s="9">
        <v>43600</v>
      </c>
      <c r="L1814" s="10">
        <v>0.43611111111111112</v>
      </c>
      <c r="M1814" t="s">
        <v>152</v>
      </c>
      <c r="N1814" t="s">
        <v>2850</v>
      </c>
      <c r="O1814" t="s">
        <v>22</v>
      </c>
    </row>
    <row r="1815" spans="1:15">
      <c r="A1815" s="6" t="s">
        <v>15</v>
      </c>
      <c r="B1815" s="6" t="str">
        <f>"FES1162689697"</f>
        <v>FES1162689697</v>
      </c>
      <c r="C1815" s="7">
        <v>43599</v>
      </c>
      <c r="D1815" s="6">
        <v>1</v>
      </c>
      <c r="E1815" s="6">
        <v>2170686547</v>
      </c>
      <c r="F1815" s="6" t="s">
        <v>16</v>
      </c>
      <c r="G1815" s="6" t="s">
        <v>17</v>
      </c>
      <c r="H1815" s="6" t="s">
        <v>17</v>
      </c>
      <c r="I1815" s="6" t="s">
        <v>23</v>
      </c>
      <c r="J1815" s="6" t="s">
        <v>2851</v>
      </c>
      <c r="K1815" s="7">
        <v>43600</v>
      </c>
      <c r="L1815" s="8">
        <v>0.3527777777777778</v>
      </c>
      <c r="M1815" s="6" t="s">
        <v>2393</v>
      </c>
      <c r="N1815" s="6" t="s">
        <v>21</v>
      </c>
      <c r="O1815" s="6" t="s">
        <v>22</v>
      </c>
    </row>
    <row r="1816" spans="1:15" hidden="1">
      <c r="A1816" t="s">
        <v>15</v>
      </c>
      <c r="B1816" t="str">
        <f>"FES1162689843"</f>
        <v>FES1162689843</v>
      </c>
      <c r="C1816" s="9">
        <v>43599</v>
      </c>
      <c r="D1816">
        <v>1</v>
      </c>
      <c r="E1816">
        <v>2170686302</v>
      </c>
      <c r="F1816" t="s">
        <v>16</v>
      </c>
      <c r="G1816" t="s">
        <v>17</v>
      </c>
      <c r="H1816" t="s">
        <v>141</v>
      </c>
      <c r="I1816" t="s">
        <v>2852</v>
      </c>
      <c r="J1816" t="s">
        <v>2719</v>
      </c>
      <c r="K1816" s="9">
        <v>43600</v>
      </c>
      <c r="L1816" s="10">
        <v>0.68472222222222223</v>
      </c>
      <c r="M1816" t="s">
        <v>2853</v>
      </c>
      <c r="N1816" t="s">
        <v>2854</v>
      </c>
      <c r="O1816" t="s">
        <v>22</v>
      </c>
    </row>
    <row r="1817" spans="1:15">
      <c r="A1817" s="6" t="s">
        <v>15</v>
      </c>
      <c r="B1817" s="6" t="str">
        <f>"FES1162689832"</f>
        <v>FES1162689832</v>
      </c>
      <c r="C1817" s="7">
        <v>43599</v>
      </c>
      <c r="D1817" s="6">
        <v>1</v>
      </c>
      <c r="E1817" s="6">
        <v>2170688325</v>
      </c>
      <c r="F1817" s="6" t="s">
        <v>16</v>
      </c>
      <c r="G1817" s="6" t="s">
        <v>17</v>
      </c>
      <c r="H1817" s="6" t="s">
        <v>17</v>
      </c>
      <c r="I1817" s="6" t="s">
        <v>18</v>
      </c>
      <c r="J1817" s="6" t="s">
        <v>2855</v>
      </c>
      <c r="K1817" s="7">
        <v>43600</v>
      </c>
      <c r="L1817" s="8">
        <v>0.33680555555555558</v>
      </c>
      <c r="M1817" s="6" t="s">
        <v>2609</v>
      </c>
      <c r="N1817" s="6" t="s">
        <v>21</v>
      </c>
      <c r="O1817" s="6" t="s">
        <v>22</v>
      </c>
    </row>
    <row r="1818" spans="1:15" hidden="1">
      <c r="A1818" t="s">
        <v>15</v>
      </c>
      <c r="B1818" t="str">
        <f>"FES1162689765"</f>
        <v>FES1162689765</v>
      </c>
      <c r="C1818" s="9">
        <v>43599</v>
      </c>
      <c r="D1818">
        <v>1</v>
      </c>
      <c r="E1818">
        <v>2170688247</v>
      </c>
      <c r="F1818" t="s">
        <v>16</v>
      </c>
      <c r="G1818" t="s">
        <v>17</v>
      </c>
      <c r="H1818" t="s">
        <v>141</v>
      </c>
      <c r="I1818" t="s">
        <v>185</v>
      </c>
      <c r="J1818" t="s">
        <v>2856</v>
      </c>
      <c r="K1818" s="9">
        <v>43600</v>
      </c>
      <c r="L1818" s="10">
        <v>0.3659722222222222</v>
      </c>
      <c r="M1818" t="s">
        <v>2857</v>
      </c>
      <c r="N1818" t="s">
        <v>2858</v>
      </c>
      <c r="O1818" t="s">
        <v>22</v>
      </c>
    </row>
    <row r="1819" spans="1:15" hidden="1">
      <c r="A1819" t="s">
        <v>15</v>
      </c>
      <c r="B1819" t="str">
        <f>"FES1162689747"</f>
        <v>FES1162689747</v>
      </c>
      <c r="C1819" s="9">
        <v>43599</v>
      </c>
      <c r="D1819">
        <v>1</v>
      </c>
      <c r="E1819">
        <v>2170688227</v>
      </c>
      <c r="F1819" t="s">
        <v>16</v>
      </c>
      <c r="G1819" t="s">
        <v>17</v>
      </c>
      <c r="H1819" t="s">
        <v>141</v>
      </c>
      <c r="I1819" t="s">
        <v>854</v>
      </c>
      <c r="J1819" t="s">
        <v>578</v>
      </c>
      <c r="K1819" s="9">
        <v>43600</v>
      </c>
      <c r="L1819" s="10">
        <v>0.45833333333333331</v>
      </c>
      <c r="M1819" t="s">
        <v>56</v>
      </c>
      <c r="N1819" t="s">
        <v>2859</v>
      </c>
      <c r="O1819" t="s">
        <v>22</v>
      </c>
    </row>
    <row r="1820" spans="1:15" hidden="1">
      <c r="A1820" t="s">
        <v>15</v>
      </c>
      <c r="B1820" t="str">
        <f>"FES1162689762"</f>
        <v>FES1162689762</v>
      </c>
      <c r="C1820" s="9">
        <v>43599</v>
      </c>
      <c r="D1820">
        <v>1</v>
      </c>
      <c r="E1820">
        <v>2170688218</v>
      </c>
      <c r="F1820" t="s">
        <v>16</v>
      </c>
      <c r="G1820" t="s">
        <v>17</v>
      </c>
      <c r="H1820" t="s">
        <v>141</v>
      </c>
      <c r="I1820" t="s">
        <v>448</v>
      </c>
      <c r="J1820" t="s">
        <v>1869</v>
      </c>
      <c r="K1820" s="9">
        <v>43600</v>
      </c>
      <c r="L1820" s="10">
        <v>0.4375</v>
      </c>
      <c r="M1820" t="s">
        <v>2860</v>
      </c>
      <c r="N1820" t="s">
        <v>2861</v>
      </c>
      <c r="O1820" t="s">
        <v>22</v>
      </c>
    </row>
    <row r="1821" spans="1:15" hidden="1">
      <c r="A1821" t="s">
        <v>15</v>
      </c>
      <c r="B1821" t="str">
        <f>"FES1162689822"</f>
        <v>FES1162689822</v>
      </c>
      <c r="C1821" s="9">
        <v>43599</v>
      </c>
      <c r="D1821">
        <v>1</v>
      </c>
      <c r="E1821">
        <v>2170688315</v>
      </c>
      <c r="F1821" t="s">
        <v>16</v>
      </c>
      <c r="G1821" t="s">
        <v>17</v>
      </c>
      <c r="H1821" t="s">
        <v>141</v>
      </c>
      <c r="I1821" t="s">
        <v>185</v>
      </c>
      <c r="J1821" t="s">
        <v>1011</v>
      </c>
      <c r="K1821" s="9">
        <v>43600</v>
      </c>
      <c r="L1821" s="10">
        <v>0.34375</v>
      </c>
      <c r="M1821" t="s">
        <v>1012</v>
      </c>
      <c r="N1821" t="s">
        <v>2862</v>
      </c>
      <c r="O1821" t="s">
        <v>22</v>
      </c>
    </row>
    <row r="1822" spans="1:15" hidden="1">
      <c r="A1822" t="s">
        <v>15</v>
      </c>
      <c r="B1822" t="str">
        <f>"FES1162689798"</f>
        <v>FES1162689798</v>
      </c>
      <c r="C1822" s="9">
        <v>43599</v>
      </c>
      <c r="D1822">
        <v>1</v>
      </c>
      <c r="E1822">
        <v>2170688289</v>
      </c>
      <c r="F1822" t="s">
        <v>16</v>
      </c>
      <c r="G1822" t="s">
        <v>17</v>
      </c>
      <c r="H1822" t="s">
        <v>141</v>
      </c>
      <c r="I1822" t="s">
        <v>142</v>
      </c>
      <c r="J1822" t="s">
        <v>195</v>
      </c>
      <c r="K1822" s="9">
        <v>43600</v>
      </c>
      <c r="L1822" s="10">
        <v>0.38263888888888892</v>
      </c>
      <c r="M1822" t="s">
        <v>2412</v>
      </c>
      <c r="N1822" t="s">
        <v>2863</v>
      </c>
      <c r="O1822" t="s">
        <v>22</v>
      </c>
    </row>
    <row r="1823" spans="1:15" hidden="1">
      <c r="A1823" t="s">
        <v>15</v>
      </c>
      <c r="B1823" t="str">
        <f>"FES1162689767"</f>
        <v>FES1162689767</v>
      </c>
      <c r="C1823" s="9">
        <v>43599</v>
      </c>
      <c r="D1823">
        <v>1</v>
      </c>
      <c r="E1823">
        <v>2170688249</v>
      </c>
      <c r="F1823" t="s">
        <v>16</v>
      </c>
      <c r="G1823" t="s">
        <v>17</v>
      </c>
      <c r="H1823" t="s">
        <v>132</v>
      </c>
      <c r="I1823" t="s">
        <v>133</v>
      </c>
      <c r="J1823" t="s">
        <v>134</v>
      </c>
      <c r="K1823" s="9">
        <v>43600</v>
      </c>
      <c r="L1823" s="10">
        <v>0.37708333333333338</v>
      </c>
      <c r="M1823" t="s">
        <v>2864</v>
      </c>
      <c r="N1823" t="s">
        <v>2865</v>
      </c>
      <c r="O1823" t="s">
        <v>22</v>
      </c>
    </row>
    <row r="1824" spans="1:15" hidden="1">
      <c r="A1824" t="s">
        <v>15</v>
      </c>
      <c r="B1824" t="str">
        <f>"FES1162689829"</f>
        <v>FES1162689829</v>
      </c>
      <c r="C1824" s="9">
        <v>43599</v>
      </c>
      <c r="D1824">
        <v>1</v>
      </c>
      <c r="E1824">
        <v>2170688322</v>
      </c>
      <c r="F1824" t="s">
        <v>16</v>
      </c>
      <c r="G1824" t="s">
        <v>17</v>
      </c>
      <c r="H1824" t="s">
        <v>141</v>
      </c>
      <c r="I1824" t="s">
        <v>458</v>
      </c>
      <c r="J1824" t="s">
        <v>2866</v>
      </c>
      <c r="K1824" s="9">
        <v>43600</v>
      </c>
      <c r="L1824" s="10">
        <v>0.5625</v>
      </c>
      <c r="M1824" t="s">
        <v>2540</v>
      </c>
      <c r="N1824" t="s">
        <v>2867</v>
      </c>
      <c r="O1824" t="s">
        <v>22</v>
      </c>
    </row>
    <row r="1825" spans="1:15" hidden="1">
      <c r="A1825" t="s">
        <v>15</v>
      </c>
      <c r="B1825" t="str">
        <f>"FES1162689757"</f>
        <v>FES1162689757</v>
      </c>
      <c r="C1825" s="9">
        <v>43599</v>
      </c>
      <c r="D1825">
        <v>1</v>
      </c>
      <c r="E1825">
        <v>2170688241</v>
      </c>
      <c r="F1825" t="s">
        <v>16</v>
      </c>
      <c r="G1825" t="s">
        <v>17</v>
      </c>
      <c r="H1825" t="s">
        <v>141</v>
      </c>
      <c r="I1825" t="s">
        <v>448</v>
      </c>
      <c r="J1825" t="s">
        <v>979</v>
      </c>
      <c r="K1825" s="9">
        <v>43600</v>
      </c>
      <c r="L1825" s="10">
        <v>0.40972222222222227</v>
      </c>
      <c r="M1825" t="s">
        <v>2395</v>
      </c>
      <c r="N1825" t="s">
        <v>2868</v>
      </c>
      <c r="O1825" t="s">
        <v>22</v>
      </c>
    </row>
    <row r="1826" spans="1:15" hidden="1">
      <c r="A1826" t="s">
        <v>15</v>
      </c>
      <c r="B1826" t="str">
        <f>"FES1162689847"</f>
        <v>FES1162689847</v>
      </c>
      <c r="C1826" s="9">
        <v>43599</v>
      </c>
      <c r="D1826">
        <v>1</v>
      </c>
      <c r="E1826">
        <v>2170688338</v>
      </c>
      <c r="F1826" t="s">
        <v>16</v>
      </c>
      <c r="G1826" t="s">
        <v>17</v>
      </c>
      <c r="H1826" t="s">
        <v>132</v>
      </c>
      <c r="I1826" t="s">
        <v>133</v>
      </c>
      <c r="J1826" t="s">
        <v>182</v>
      </c>
      <c r="K1826" s="9">
        <v>43600</v>
      </c>
      <c r="L1826" s="10">
        <v>0.375</v>
      </c>
      <c r="M1826" t="s">
        <v>183</v>
      </c>
      <c r="N1826" t="s">
        <v>2869</v>
      </c>
      <c r="O1826" t="s">
        <v>22</v>
      </c>
    </row>
    <row r="1827" spans="1:15" hidden="1">
      <c r="A1827" t="s">
        <v>15</v>
      </c>
      <c r="B1827" t="str">
        <f>"FES1162689830"</f>
        <v>FES1162689830</v>
      </c>
      <c r="C1827" s="9">
        <v>43599</v>
      </c>
      <c r="D1827">
        <v>1</v>
      </c>
      <c r="E1827">
        <v>2170688321</v>
      </c>
      <c r="F1827" t="s">
        <v>16</v>
      </c>
      <c r="G1827" t="s">
        <v>17</v>
      </c>
      <c r="H1827" t="s">
        <v>141</v>
      </c>
      <c r="I1827" t="s">
        <v>448</v>
      </c>
      <c r="J1827" t="s">
        <v>449</v>
      </c>
      <c r="K1827" s="9">
        <v>43600</v>
      </c>
      <c r="L1827" s="10">
        <v>0.42708333333333331</v>
      </c>
      <c r="M1827" t="s">
        <v>2870</v>
      </c>
      <c r="N1827" t="s">
        <v>2871</v>
      </c>
      <c r="O1827" t="s">
        <v>22</v>
      </c>
    </row>
    <row r="1828" spans="1:15" hidden="1">
      <c r="A1828" t="s">
        <v>15</v>
      </c>
      <c r="B1828" t="str">
        <f>"FES1162689828"</f>
        <v>FES1162689828</v>
      </c>
      <c r="C1828" s="9">
        <v>43599</v>
      </c>
      <c r="D1828">
        <v>1</v>
      </c>
      <c r="E1828">
        <v>2170688320</v>
      </c>
      <c r="F1828" t="s">
        <v>16</v>
      </c>
      <c r="G1828" t="s">
        <v>17</v>
      </c>
      <c r="H1828" t="s">
        <v>132</v>
      </c>
      <c r="I1828" t="s">
        <v>133</v>
      </c>
      <c r="J1828" t="s">
        <v>1813</v>
      </c>
      <c r="K1828" s="9">
        <v>43600</v>
      </c>
      <c r="L1828" s="10">
        <v>0.4069444444444445</v>
      </c>
      <c r="M1828" t="s">
        <v>1814</v>
      </c>
      <c r="N1828" t="s">
        <v>2872</v>
      </c>
      <c r="O1828" t="s">
        <v>22</v>
      </c>
    </row>
    <row r="1829" spans="1:15">
      <c r="A1829" s="6" t="s">
        <v>15</v>
      </c>
      <c r="B1829" s="6" t="str">
        <f>"FES1162689690"</f>
        <v>FES1162689690</v>
      </c>
      <c r="C1829" s="7">
        <v>43599</v>
      </c>
      <c r="D1829" s="6">
        <v>1</v>
      </c>
      <c r="E1829" s="6">
        <v>2170686521</v>
      </c>
      <c r="F1829" s="6" t="s">
        <v>16</v>
      </c>
      <c r="G1829" s="6" t="s">
        <v>17</v>
      </c>
      <c r="H1829" s="6" t="s">
        <v>17</v>
      </c>
      <c r="I1829" s="6" t="s">
        <v>23</v>
      </c>
      <c r="J1829" s="6" t="s">
        <v>24</v>
      </c>
      <c r="K1829" s="7">
        <v>43600</v>
      </c>
      <c r="L1829" s="8">
        <v>0.4236111111111111</v>
      </c>
      <c r="M1829" s="6" t="s">
        <v>2843</v>
      </c>
      <c r="N1829" s="6" t="s">
        <v>21</v>
      </c>
      <c r="O1829" s="6" t="s">
        <v>22</v>
      </c>
    </row>
    <row r="1830" spans="1:15" hidden="1">
      <c r="A1830" t="s">
        <v>15</v>
      </c>
      <c r="B1830" t="str">
        <f>"FES1162689807"</f>
        <v>FES1162689807</v>
      </c>
      <c r="C1830" s="9">
        <v>43599</v>
      </c>
      <c r="D1830">
        <v>1</v>
      </c>
      <c r="E1830">
        <v>2170688300</v>
      </c>
      <c r="F1830" t="s">
        <v>16</v>
      </c>
      <c r="G1830" t="s">
        <v>17</v>
      </c>
      <c r="H1830" t="s">
        <v>141</v>
      </c>
      <c r="I1830" t="s">
        <v>142</v>
      </c>
      <c r="J1830" t="s">
        <v>213</v>
      </c>
      <c r="K1830" s="9">
        <v>43600</v>
      </c>
      <c r="L1830" s="10">
        <v>0.38541666666666669</v>
      </c>
      <c r="M1830" t="s">
        <v>214</v>
      </c>
      <c r="N1830" t="s">
        <v>2873</v>
      </c>
      <c r="O1830" t="s">
        <v>22</v>
      </c>
    </row>
    <row r="1831" spans="1:15" hidden="1">
      <c r="A1831" t="s">
        <v>15</v>
      </c>
      <c r="B1831" t="str">
        <f>"FES1162689784"</f>
        <v>FES1162689784</v>
      </c>
      <c r="C1831" s="9">
        <v>43599</v>
      </c>
      <c r="D1831">
        <v>1</v>
      </c>
      <c r="E1831">
        <v>2170688258</v>
      </c>
      <c r="F1831" t="s">
        <v>16</v>
      </c>
      <c r="G1831" t="s">
        <v>17</v>
      </c>
      <c r="H1831" t="s">
        <v>141</v>
      </c>
      <c r="I1831" t="s">
        <v>142</v>
      </c>
      <c r="J1831" t="s">
        <v>1718</v>
      </c>
      <c r="K1831" s="9">
        <v>43600</v>
      </c>
      <c r="L1831" s="10">
        <v>0.42499999999999999</v>
      </c>
      <c r="M1831" t="s">
        <v>2874</v>
      </c>
      <c r="N1831" t="s">
        <v>2875</v>
      </c>
      <c r="O1831" t="s">
        <v>22</v>
      </c>
    </row>
    <row r="1832" spans="1:15">
      <c r="A1832" s="6" t="s">
        <v>15</v>
      </c>
      <c r="B1832" s="6" t="str">
        <f>"FES1162689733"</f>
        <v>FES1162689733</v>
      </c>
      <c r="C1832" s="7">
        <v>43599</v>
      </c>
      <c r="D1832" s="6">
        <v>1</v>
      </c>
      <c r="E1832" s="6">
        <v>2170688213</v>
      </c>
      <c r="F1832" s="6" t="s">
        <v>16</v>
      </c>
      <c r="G1832" s="6" t="s">
        <v>17</v>
      </c>
      <c r="H1832" s="6" t="s">
        <v>17</v>
      </c>
      <c r="I1832" s="6" t="s">
        <v>103</v>
      </c>
      <c r="J1832" s="6" t="s">
        <v>573</v>
      </c>
      <c r="K1832" s="7">
        <v>43600</v>
      </c>
      <c r="L1832" s="8">
        <v>0.33333333333333331</v>
      </c>
      <c r="M1832" s="6" t="s">
        <v>2876</v>
      </c>
      <c r="N1832" s="6" t="s">
        <v>21</v>
      </c>
      <c r="O1832" s="6" t="s">
        <v>22</v>
      </c>
    </row>
    <row r="1833" spans="1:15">
      <c r="A1833" s="6" t="s">
        <v>15</v>
      </c>
      <c r="B1833" s="6" t="str">
        <f>"FES1162689834"</f>
        <v>FES1162689834</v>
      </c>
      <c r="C1833" s="7">
        <v>43599</v>
      </c>
      <c r="D1833" s="6">
        <v>1</v>
      </c>
      <c r="E1833" s="6">
        <v>2170688329</v>
      </c>
      <c r="F1833" s="6" t="s">
        <v>16</v>
      </c>
      <c r="G1833" s="6" t="s">
        <v>17</v>
      </c>
      <c r="H1833" s="6" t="s">
        <v>17</v>
      </c>
      <c r="I1833" s="6" t="s">
        <v>23</v>
      </c>
      <c r="J1833" s="6" t="s">
        <v>24</v>
      </c>
      <c r="K1833" s="7">
        <v>43600</v>
      </c>
      <c r="L1833" s="8">
        <v>0.4236111111111111</v>
      </c>
      <c r="M1833" s="6" t="s">
        <v>2843</v>
      </c>
      <c r="N1833" s="6" t="s">
        <v>21</v>
      </c>
      <c r="O1833" s="6" t="s">
        <v>22</v>
      </c>
    </row>
    <row r="1834" spans="1:15" hidden="1">
      <c r="A1834" t="s">
        <v>15</v>
      </c>
      <c r="B1834" t="str">
        <f>"FES1162689826"</f>
        <v>FES1162689826</v>
      </c>
      <c r="C1834" s="9">
        <v>43599</v>
      </c>
      <c r="D1834">
        <v>1</v>
      </c>
      <c r="E1834">
        <v>2170687711</v>
      </c>
      <c r="F1834" t="s">
        <v>16</v>
      </c>
      <c r="G1834" t="s">
        <v>17</v>
      </c>
      <c r="H1834" t="s">
        <v>290</v>
      </c>
      <c r="I1834" t="s">
        <v>309</v>
      </c>
      <c r="J1834" t="s">
        <v>2877</v>
      </c>
      <c r="K1834" s="9">
        <v>43600</v>
      </c>
      <c r="L1834" s="10">
        <v>0.34722222222222227</v>
      </c>
      <c r="M1834" t="s">
        <v>2878</v>
      </c>
      <c r="N1834" t="s">
        <v>2879</v>
      </c>
      <c r="O1834" t="s">
        <v>22</v>
      </c>
    </row>
    <row r="1835" spans="1:15" hidden="1">
      <c r="A1835" t="s">
        <v>15</v>
      </c>
      <c r="B1835" t="str">
        <f>"FES1162689827"</f>
        <v>FES1162689827</v>
      </c>
      <c r="C1835" s="9">
        <v>43599</v>
      </c>
      <c r="D1835">
        <v>1</v>
      </c>
      <c r="E1835">
        <v>2170688319</v>
      </c>
      <c r="F1835" t="s">
        <v>16</v>
      </c>
      <c r="G1835" t="s">
        <v>17</v>
      </c>
      <c r="H1835" t="s">
        <v>43</v>
      </c>
      <c r="I1835" t="s">
        <v>75</v>
      </c>
      <c r="J1835" t="s">
        <v>2223</v>
      </c>
      <c r="K1835" s="9">
        <v>43600</v>
      </c>
      <c r="L1835" s="10">
        <v>0.47847222222222219</v>
      </c>
      <c r="M1835" t="s">
        <v>2880</v>
      </c>
      <c r="N1835" t="s">
        <v>2881</v>
      </c>
      <c r="O1835" t="s">
        <v>22</v>
      </c>
    </row>
    <row r="1836" spans="1:15" hidden="1">
      <c r="A1836" t="s">
        <v>15</v>
      </c>
      <c r="B1836" t="str">
        <f>"FES1162689839"</f>
        <v>FES1162689839</v>
      </c>
      <c r="C1836" s="9">
        <v>43599</v>
      </c>
      <c r="D1836">
        <v>1</v>
      </c>
      <c r="E1836">
        <v>2170688330</v>
      </c>
      <c r="F1836" t="s">
        <v>16</v>
      </c>
      <c r="G1836" t="s">
        <v>17</v>
      </c>
      <c r="H1836" t="s">
        <v>43</v>
      </c>
      <c r="I1836" t="s">
        <v>54</v>
      </c>
      <c r="J1836" t="s">
        <v>659</v>
      </c>
      <c r="K1836" s="9">
        <v>43600</v>
      </c>
      <c r="L1836" s="10">
        <v>0.41666666666666669</v>
      </c>
      <c r="M1836" t="s">
        <v>2882</v>
      </c>
      <c r="N1836" t="s">
        <v>2883</v>
      </c>
      <c r="O1836" t="s">
        <v>22</v>
      </c>
    </row>
    <row r="1837" spans="1:15" hidden="1">
      <c r="A1837" t="s">
        <v>15</v>
      </c>
      <c r="B1837" t="str">
        <f>"FES1162689852"</f>
        <v>FES1162689852</v>
      </c>
      <c r="C1837" s="9">
        <v>43599</v>
      </c>
      <c r="D1837">
        <v>1</v>
      </c>
      <c r="E1837">
        <v>2170688341</v>
      </c>
      <c r="F1837" t="s">
        <v>16</v>
      </c>
      <c r="G1837" t="s">
        <v>17</v>
      </c>
      <c r="H1837" t="s">
        <v>43</v>
      </c>
      <c r="I1837" t="s">
        <v>75</v>
      </c>
      <c r="J1837" t="s">
        <v>222</v>
      </c>
      <c r="K1837" s="9">
        <v>43600</v>
      </c>
      <c r="L1837" s="10">
        <v>0.46388888888888885</v>
      </c>
      <c r="M1837" t="s">
        <v>88</v>
      </c>
      <c r="N1837" t="s">
        <v>2884</v>
      </c>
      <c r="O1837" t="s">
        <v>22</v>
      </c>
    </row>
    <row r="1838" spans="1:15">
      <c r="A1838" s="6" t="s">
        <v>15</v>
      </c>
      <c r="B1838" s="6" t="str">
        <f>"FES1162687263"</f>
        <v>FES1162687263</v>
      </c>
      <c r="C1838" s="7">
        <v>43599</v>
      </c>
      <c r="D1838" s="6">
        <v>1</v>
      </c>
      <c r="E1838" s="6">
        <v>2170685399</v>
      </c>
      <c r="F1838" s="6" t="s">
        <v>16</v>
      </c>
      <c r="G1838" s="6" t="s">
        <v>17</v>
      </c>
      <c r="H1838" s="6" t="s">
        <v>17</v>
      </c>
      <c r="I1838" s="6" t="s">
        <v>18</v>
      </c>
      <c r="J1838" s="6" t="s">
        <v>19</v>
      </c>
      <c r="K1838" s="7">
        <v>43600</v>
      </c>
      <c r="L1838" s="8">
        <v>0.41666666666666669</v>
      </c>
      <c r="M1838" s="6" t="s">
        <v>1327</v>
      </c>
      <c r="N1838" s="6" t="s">
        <v>21</v>
      </c>
      <c r="O1838" s="6" t="s">
        <v>22</v>
      </c>
    </row>
    <row r="1839" spans="1:15">
      <c r="A1839" s="6" t="s">
        <v>15</v>
      </c>
      <c r="B1839" s="6" t="str">
        <f>"FES1162686983"</f>
        <v>FES1162686983</v>
      </c>
      <c r="C1839" s="7">
        <v>43599</v>
      </c>
      <c r="D1839" s="6">
        <v>1</v>
      </c>
      <c r="E1839" s="6">
        <v>2170685399</v>
      </c>
      <c r="F1839" s="6" t="s">
        <v>16</v>
      </c>
      <c r="G1839" s="6" t="s">
        <v>17</v>
      </c>
      <c r="H1839" s="6" t="s">
        <v>17</v>
      </c>
      <c r="I1839" s="6" t="s">
        <v>18</v>
      </c>
      <c r="J1839" s="6" t="s">
        <v>19</v>
      </c>
      <c r="K1839" s="7">
        <v>43600</v>
      </c>
      <c r="L1839" s="8">
        <v>0.41666666666666669</v>
      </c>
      <c r="M1839" s="6" t="s">
        <v>1327</v>
      </c>
      <c r="N1839" s="6" t="s">
        <v>21</v>
      </c>
      <c r="O1839" s="6" t="s">
        <v>22</v>
      </c>
    </row>
    <row r="1840" spans="1:15" hidden="1">
      <c r="A1840" t="s">
        <v>15</v>
      </c>
      <c r="B1840" t="str">
        <f>"FES1162689811"</f>
        <v>FES1162689811</v>
      </c>
      <c r="C1840" s="9">
        <v>43599</v>
      </c>
      <c r="D1840">
        <v>1</v>
      </c>
      <c r="E1840">
        <v>2170688302</v>
      </c>
      <c r="F1840" t="s">
        <v>16</v>
      </c>
      <c r="G1840" t="s">
        <v>17</v>
      </c>
      <c r="H1840" t="s">
        <v>59</v>
      </c>
      <c r="I1840" t="s">
        <v>103</v>
      </c>
      <c r="J1840" t="s">
        <v>1848</v>
      </c>
      <c r="K1840" s="9">
        <v>43600</v>
      </c>
      <c r="L1840" s="10">
        <v>0.4201388888888889</v>
      </c>
      <c r="M1840" t="s">
        <v>2885</v>
      </c>
      <c r="N1840" t="s">
        <v>2886</v>
      </c>
      <c r="O1840" t="s">
        <v>22</v>
      </c>
    </row>
    <row r="1841" spans="1:15">
      <c r="A1841" s="6" t="s">
        <v>15</v>
      </c>
      <c r="B1841" s="6" t="str">
        <f>"FES1162689861"</f>
        <v>FES1162689861</v>
      </c>
      <c r="C1841" s="7">
        <v>43599</v>
      </c>
      <c r="D1841" s="6">
        <v>1</v>
      </c>
      <c r="E1841" s="6">
        <v>2170688352</v>
      </c>
      <c r="F1841" s="6" t="s">
        <v>16</v>
      </c>
      <c r="G1841" s="6" t="s">
        <v>17</v>
      </c>
      <c r="H1841" s="6" t="s">
        <v>17</v>
      </c>
      <c r="I1841" s="6" t="s">
        <v>18</v>
      </c>
      <c r="J1841" s="6" t="s">
        <v>2032</v>
      </c>
      <c r="K1841" s="7">
        <v>43600</v>
      </c>
      <c r="L1841" s="8">
        <v>0.43541666666666662</v>
      </c>
      <c r="M1841" s="6" t="s">
        <v>66</v>
      </c>
      <c r="N1841" s="6" t="s">
        <v>21</v>
      </c>
      <c r="O1841" s="6" t="s">
        <v>22</v>
      </c>
    </row>
    <row r="1842" spans="1:15" hidden="1">
      <c r="A1842" t="s">
        <v>15</v>
      </c>
      <c r="B1842" t="str">
        <f>"FES1162689855"</f>
        <v>FES1162689855</v>
      </c>
      <c r="C1842" s="9">
        <v>43599</v>
      </c>
      <c r="D1842">
        <v>1</v>
      </c>
      <c r="E1842">
        <v>2170688348</v>
      </c>
      <c r="F1842" t="s">
        <v>16</v>
      </c>
      <c r="G1842" t="s">
        <v>17</v>
      </c>
      <c r="H1842" t="s">
        <v>290</v>
      </c>
      <c r="I1842" t="s">
        <v>291</v>
      </c>
      <c r="J1842" t="s">
        <v>1293</v>
      </c>
      <c r="K1842" s="9">
        <v>43600</v>
      </c>
      <c r="L1842" s="10">
        <v>0.37916666666666665</v>
      </c>
      <c r="M1842" t="s">
        <v>2887</v>
      </c>
      <c r="N1842" t="s">
        <v>2888</v>
      </c>
      <c r="O1842" t="s">
        <v>22</v>
      </c>
    </row>
    <row r="1843" spans="1:15" hidden="1">
      <c r="A1843" t="s">
        <v>15</v>
      </c>
      <c r="B1843" t="str">
        <f>"FES1162689849"</f>
        <v>FES1162689849</v>
      </c>
      <c r="C1843" s="9">
        <v>43599</v>
      </c>
      <c r="D1843">
        <v>1</v>
      </c>
      <c r="E1843">
        <v>2170688340</v>
      </c>
      <c r="F1843" t="s">
        <v>16</v>
      </c>
      <c r="G1843" t="s">
        <v>17</v>
      </c>
      <c r="H1843" t="s">
        <v>43</v>
      </c>
      <c r="I1843" t="s">
        <v>44</v>
      </c>
      <c r="J1843" t="s">
        <v>48</v>
      </c>
      <c r="K1843" s="9">
        <v>43600</v>
      </c>
      <c r="L1843" s="10">
        <v>0.34722222222222227</v>
      </c>
      <c r="M1843" t="s">
        <v>2712</v>
      </c>
      <c r="N1843" t="s">
        <v>2889</v>
      </c>
      <c r="O1843" t="s">
        <v>22</v>
      </c>
    </row>
    <row r="1844" spans="1:15" hidden="1">
      <c r="A1844" t="s">
        <v>15</v>
      </c>
      <c r="B1844" t="str">
        <f>"FES1162689792"</f>
        <v>FES1162689792</v>
      </c>
      <c r="C1844" s="9">
        <v>43599</v>
      </c>
      <c r="D1844">
        <v>1</v>
      </c>
      <c r="E1844">
        <v>2170687896</v>
      </c>
      <c r="F1844" t="s">
        <v>16</v>
      </c>
      <c r="G1844" t="s">
        <v>17</v>
      </c>
      <c r="H1844" t="s">
        <v>43</v>
      </c>
      <c r="I1844" t="s">
        <v>44</v>
      </c>
      <c r="J1844" t="s">
        <v>51</v>
      </c>
      <c r="K1844" s="9">
        <v>43600</v>
      </c>
      <c r="L1844" s="10">
        <v>0.40416666666666662</v>
      </c>
      <c r="M1844" t="s">
        <v>2890</v>
      </c>
      <c r="N1844" t="s">
        <v>2891</v>
      </c>
      <c r="O1844" t="s">
        <v>22</v>
      </c>
    </row>
    <row r="1845" spans="1:15" hidden="1">
      <c r="A1845" t="s">
        <v>15</v>
      </c>
      <c r="B1845" t="str">
        <f>"FES1162689863"</f>
        <v>FES1162689863</v>
      </c>
      <c r="C1845" s="9">
        <v>43599</v>
      </c>
      <c r="D1845">
        <v>1</v>
      </c>
      <c r="E1845">
        <v>2170688358</v>
      </c>
      <c r="F1845" t="s">
        <v>16</v>
      </c>
      <c r="G1845" t="s">
        <v>17</v>
      </c>
      <c r="H1845" t="s">
        <v>32</v>
      </c>
      <c r="I1845" t="s">
        <v>33</v>
      </c>
      <c r="J1845" t="s">
        <v>2108</v>
      </c>
      <c r="K1845" s="9">
        <v>43600</v>
      </c>
      <c r="L1845" s="10">
        <v>0.34027777777777773</v>
      </c>
      <c r="M1845" t="s">
        <v>2892</v>
      </c>
      <c r="N1845" t="s">
        <v>2893</v>
      </c>
      <c r="O1845" t="s">
        <v>2894</v>
      </c>
    </row>
    <row r="1846" spans="1:15" hidden="1">
      <c r="A1846" t="s">
        <v>15</v>
      </c>
      <c r="B1846" t="str">
        <f>"FES1162689778"</f>
        <v>FES1162689778</v>
      </c>
      <c r="C1846" s="9">
        <v>43599</v>
      </c>
      <c r="D1846">
        <v>1</v>
      </c>
      <c r="E1846">
        <v>2170688268</v>
      </c>
      <c r="F1846" t="s">
        <v>16</v>
      </c>
      <c r="G1846" t="s">
        <v>17</v>
      </c>
      <c r="H1846" t="s">
        <v>43</v>
      </c>
      <c r="I1846" t="s">
        <v>44</v>
      </c>
      <c r="J1846" t="s">
        <v>336</v>
      </c>
      <c r="K1846" s="9">
        <v>43600</v>
      </c>
      <c r="L1846" s="10">
        <v>0.35902777777777778</v>
      </c>
      <c r="M1846" t="s">
        <v>1502</v>
      </c>
      <c r="N1846" t="s">
        <v>2895</v>
      </c>
      <c r="O1846" t="s">
        <v>22</v>
      </c>
    </row>
    <row r="1847" spans="1:15">
      <c r="A1847" s="6" t="s">
        <v>15</v>
      </c>
      <c r="B1847" s="6" t="str">
        <f>"FES1162689841"</f>
        <v>FES1162689841</v>
      </c>
      <c r="C1847" s="7">
        <v>43599</v>
      </c>
      <c r="D1847" s="6">
        <v>1</v>
      </c>
      <c r="E1847" s="6">
        <v>2170683394</v>
      </c>
      <c r="F1847" s="6" t="s">
        <v>16</v>
      </c>
      <c r="G1847" s="6" t="s">
        <v>17</v>
      </c>
      <c r="H1847" s="6" t="s">
        <v>17</v>
      </c>
      <c r="I1847" s="6" t="s">
        <v>64</v>
      </c>
      <c r="J1847" s="6" t="s">
        <v>2896</v>
      </c>
      <c r="K1847" s="7">
        <v>43600</v>
      </c>
      <c r="L1847" s="8">
        <v>0.4236111111111111</v>
      </c>
      <c r="M1847" s="6" t="s">
        <v>2897</v>
      </c>
      <c r="N1847" s="6" t="s">
        <v>21</v>
      </c>
      <c r="O1847" s="6" t="s">
        <v>22</v>
      </c>
    </row>
    <row r="1848" spans="1:15" hidden="1">
      <c r="A1848" t="s">
        <v>15</v>
      </c>
      <c r="B1848" t="str">
        <f>"FES1162689858"</f>
        <v>FES1162689858</v>
      </c>
      <c r="C1848" s="9">
        <v>43599</v>
      </c>
      <c r="D1848">
        <v>1</v>
      </c>
      <c r="E1848">
        <v>2170686432</v>
      </c>
      <c r="F1848" t="s">
        <v>16</v>
      </c>
      <c r="G1848" t="s">
        <v>17</v>
      </c>
      <c r="H1848" t="s">
        <v>37</v>
      </c>
      <c r="I1848" t="s">
        <v>38</v>
      </c>
      <c r="J1848" t="s">
        <v>766</v>
      </c>
      <c r="K1848" s="9">
        <v>43600</v>
      </c>
      <c r="L1848" s="10">
        <v>0.37083333333333335</v>
      </c>
      <c r="M1848" t="s">
        <v>767</v>
      </c>
      <c r="N1848" t="s">
        <v>2898</v>
      </c>
      <c r="O1848" t="s">
        <v>22</v>
      </c>
    </row>
    <row r="1849" spans="1:15" hidden="1">
      <c r="A1849" t="s">
        <v>15</v>
      </c>
      <c r="B1849" t="str">
        <f>"FES1162689859"</f>
        <v>FES1162689859</v>
      </c>
      <c r="C1849" s="9">
        <v>43599</v>
      </c>
      <c r="D1849">
        <v>1</v>
      </c>
      <c r="E1849">
        <v>2170688157</v>
      </c>
      <c r="F1849" t="s">
        <v>16</v>
      </c>
      <c r="G1849" t="s">
        <v>17</v>
      </c>
      <c r="H1849" t="s">
        <v>37</v>
      </c>
      <c r="I1849" t="s">
        <v>38</v>
      </c>
      <c r="J1849" t="s">
        <v>766</v>
      </c>
      <c r="K1849" s="9">
        <v>43600</v>
      </c>
      <c r="L1849" s="10">
        <v>0.37083333333333335</v>
      </c>
      <c r="M1849" t="s">
        <v>767</v>
      </c>
      <c r="N1849" t="s">
        <v>2899</v>
      </c>
      <c r="O1849" t="s">
        <v>22</v>
      </c>
    </row>
    <row r="1850" spans="1:15">
      <c r="A1850" s="6" t="s">
        <v>15</v>
      </c>
      <c r="B1850" s="6" t="str">
        <f>"FES1162689845"</f>
        <v>FES1162689845</v>
      </c>
      <c r="C1850" s="7">
        <v>43599</v>
      </c>
      <c r="D1850" s="6">
        <v>1</v>
      </c>
      <c r="E1850" s="6">
        <v>2170688335</v>
      </c>
      <c r="F1850" s="6" t="s">
        <v>16</v>
      </c>
      <c r="G1850" s="6" t="s">
        <v>17</v>
      </c>
      <c r="H1850" s="6" t="s">
        <v>17</v>
      </c>
      <c r="I1850" s="6" t="s">
        <v>18</v>
      </c>
      <c r="J1850" s="6" t="s">
        <v>412</v>
      </c>
      <c r="K1850" s="7">
        <v>43600</v>
      </c>
      <c r="L1850" s="8">
        <v>0.41666666666666669</v>
      </c>
      <c r="M1850" s="6" t="s">
        <v>2900</v>
      </c>
      <c r="N1850" s="6" t="s">
        <v>21</v>
      </c>
      <c r="O1850" s="6" t="s">
        <v>22</v>
      </c>
    </row>
    <row r="1851" spans="1:15" hidden="1">
      <c r="A1851" t="s">
        <v>15</v>
      </c>
      <c r="B1851" t="str">
        <f>"FES1162689744"</f>
        <v>FES1162689744</v>
      </c>
      <c r="C1851" s="9">
        <v>43599</v>
      </c>
      <c r="D1851">
        <v>1</v>
      </c>
      <c r="E1851">
        <v>2170687315</v>
      </c>
      <c r="F1851" t="s">
        <v>16</v>
      </c>
      <c r="G1851" t="s">
        <v>17</v>
      </c>
      <c r="H1851" t="s">
        <v>290</v>
      </c>
      <c r="I1851" t="s">
        <v>291</v>
      </c>
      <c r="J1851" t="s">
        <v>2901</v>
      </c>
      <c r="K1851" s="9">
        <v>43600</v>
      </c>
      <c r="L1851" s="10">
        <v>0.40277777777777773</v>
      </c>
      <c r="M1851" t="s">
        <v>2902</v>
      </c>
      <c r="N1851" t="s">
        <v>2903</v>
      </c>
      <c r="O1851" t="s">
        <v>22</v>
      </c>
    </row>
    <row r="1852" spans="1:15">
      <c r="A1852" s="6" t="s">
        <v>15</v>
      </c>
      <c r="B1852" s="6" t="str">
        <f>"FES1162689850"</f>
        <v>FES1162689850</v>
      </c>
      <c r="C1852" s="7">
        <v>43599</v>
      </c>
      <c r="D1852" s="6">
        <v>1</v>
      </c>
      <c r="E1852" s="6">
        <v>2170685204</v>
      </c>
      <c r="F1852" s="6" t="s">
        <v>16</v>
      </c>
      <c r="G1852" s="6" t="s">
        <v>17</v>
      </c>
      <c r="H1852" s="6" t="s">
        <v>17</v>
      </c>
      <c r="I1852" s="6" t="s">
        <v>64</v>
      </c>
      <c r="J1852" s="6" t="s">
        <v>116</v>
      </c>
      <c r="K1852" s="7">
        <v>43600</v>
      </c>
      <c r="L1852" s="8">
        <v>0.41666666666666669</v>
      </c>
      <c r="M1852" s="6" t="s">
        <v>2594</v>
      </c>
      <c r="N1852" s="6" t="s">
        <v>21</v>
      </c>
      <c r="O1852" s="6" t="s">
        <v>22</v>
      </c>
    </row>
    <row r="1853" spans="1:15">
      <c r="A1853" s="6" t="s">
        <v>15</v>
      </c>
      <c r="B1853" s="6" t="str">
        <f>"FES1162683190"</f>
        <v>FES1162683190</v>
      </c>
      <c r="C1853" s="7">
        <v>43599</v>
      </c>
      <c r="D1853" s="6">
        <v>1</v>
      </c>
      <c r="E1853" s="6">
        <v>2170682268</v>
      </c>
      <c r="F1853" s="6" t="s">
        <v>16</v>
      </c>
      <c r="G1853" s="6" t="s">
        <v>17</v>
      </c>
      <c r="H1853" s="6" t="s">
        <v>17</v>
      </c>
      <c r="I1853" s="6" t="s">
        <v>23</v>
      </c>
      <c r="J1853" s="6" t="s">
        <v>2851</v>
      </c>
      <c r="K1853" s="7">
        <v>43600</v>
      </c>
      <c r="L1853" s="8">
        <v>0.3527777777777778</v>
      </c>
      <c r="M1853" s="6" t="s">
        <v>2393</v>
      </c>
      <c r="N1853" s="6" t="s">
        <v>21</v>
      </c>
      <c r="O1853" s="6" t="s">
        <v>22</v>
      </c>
    </row>
    <row r="1854" spans="1:15">
      <c r="A1854" s="6" t="s">
        <v>15</v>
      </c>
      <c r="B1854" s="6" t="str">
        <f>"FES1162689821"</f>
        <v>FES1162689821</v>
      </c>
      <c r="C1854" s="7">
        <v>43599</v>
      </c>
      <c r="D1854" s="6">
        <v>1</v>
      </c>
      <c r="E1854" s="6">
        <v>2170688314</v>
      </c>
      <c r="F1854" s="6" t="s">
        <v>16</v>
      </c>
      <c r="G1854" s="6" t="s">
        <v>17</v>
      </c>
      <c r="H1854" s="6" t="s">
        <v>17</v>
      </c>
      <c r="I1854" s="6" t="s">
        <v>18</v>
      </c>
      <c r="J1854" s="6" t="s">
        <v>2904</v>
      </c>
      <c r="K1854" s="7">
        <v>43607</v>
      </c>
      <c r="L1854" s="8">
        <v>0.43055555555555558</v>
      </c>
      <c r="M1854" s="6" t="s">
        <v>2905</v>
      </c>
      <c r="N1854" s="6" t="s">
        <v>21</v>
      </c>
      <c r="O1854" s="6" t="s">
        <v>22</v>
      </c>
    </row>
    <row r="1855" spans="1:15" hidden="1">
      <c r="A1855" t="s">
        <v>15</v>
      </c>
      <c r="B1855" t="str">
        <f>"FES1162689868"</f>
        <v>FES1162689868</v>
      </c>
      <c r="C1855" s="9">
        <v>43599</v>
      </c>
      <c r="D1855">
        <v>1</v>
      </c>
      <c r="E1855">
        <v>2170688366</v>
      </c>
      <c r="F1855" t="s">
        <v>16</v>
      </c>
      <c r="G1855" t="s">
        <v>17</v>
      </c>
      <c r="H1855" t="s">
        <v>141</v>
      </c>
      <c r="I1855" t="s">
        <v>142</v>
      </c>
      <c r="J1855" t="s">
        <v>228</v>
      </c>
      <c r="K1855" s="9">
        <v>43600</v>
      </c>
      <c r="L1855" s="10">
        <v>0.3888888888888889</v>
      </c>
      <c r="M1855" t="s">
        <v>229</v>
      </c>
      <c r="N1855" t="s">
        <v>2906</v>
      </c>
      <c r="O1855" t="s">
        <v>22</v>
      </c>
    </row>
    <row r="1856" spans="1:15">
      <c r="A1856" s="6" t="s">
        <v>15</v>
      </c>
      <c r="B1856" s="6" t="str">
        <f>"FES1162689753"</f>
        <v>FES1162689753</v>
      </c>
      <c r="C1856" s="7">
        <v>43599</v>
      </c>
      <c r="D1856" s="6">
        <v>1</v>
      </c>
      <c r="E1856" s="6">
        <v>2170688235</v>
      </c>
      <c r="F1856" s="6" t="s">
        <v>16</v>
      </c>
      <c r="G1856" s="6" t="s">
        <v>17</v>
      </c>
      <c r="H1856" s="6" t="s">
        <v>17</v>
      </c>
      <c r="I1856" s="6" t="s">
        <v>18</v>
      </c>
      <c r="J1856" s="6" t="s">
        <v>19</v>
      </c>
      <c r="K1856" s="7">
        <v>43600</v>
      </c>
      <c r="L1856" s="8">
        <v>0.41666666666666669</v>
      </c>
      <c r="M1856" s="6" t="s">
        <v>1327</v>
      </c>
      <c r="N1856" s="6" t="s">
        <v>21</v>
      </c>
      <c r="O1856" s="6" t="s">
        <v>22</v>
      </c>
    </row>
    <row r="1857" spans="1:15">
      <c r="A1857" s="6" t="s">
        <v>15</v>
      </c>
      <c r="B1857" s="6" t="str">
        <f>"FES1162689804"</f>
        <v>FES1162689804</v>
      </c>
      <c r="C1857" s="7">
        <v>43599</v>
      </c>
      <c r="D1857" s="6">
        <v>1</v>
      </c>
      <c r="E1857" s="6">
        <v>2170687109</v>
      </c>
      <c r="F1857" s="6" t="s">
        <v>16</v>
      </c>
      <c r="G1857" s="6" t="s">
        <v>17</v>
      </c>
      <c r="H1857" s="6" t="s">
        <v>17</v>
      </c>
      <c r="I1857" s="6" t="s">
        <v>23</v>
      </c>
      <c r="J1857" s="6" t="s">
        <v>1225</v>
      </c>
      <c r="K1857" s="7">
        <v>43600</v>
      </c>
      <c r="L1857" s="8">
        <v>0.33888888888888885</v>
      </c>
      <c r="M1857" s="6" t="s">
        <v>1226</v>
      </c>
      <c r="N1857" s="6" t="s">
        <v>21</v>
      </c>
      <c r="O1857" s="6" t="s">
        <v>22</v>
      </c>
    </row>
    <row r="1858" spans="1:15">
      <c r="A1858" s="6" t="s">
        <v>15</v>
      </c>
      <c r="B1858" s="6" t="str">
        <f>"FES1162689796"</f>
        <v>FES1162689796</v>
      </c>
      <c r="C1858" s="7">
        <v>43599</v>
      </c>
      <c r="D1858" s="6">
        <v>1</v>
      </c>
      <c r="E1858" s="6">
        <v>2170688287</v>
      </c>
      <c r="F1858" s="6" t="s">
        <v>16</v>
      </c>
      <c r="G1858" s="6" t="s">
        <v>17</v>
      </c>
      <c r="H1858" s="6" t="s">
        <v>17</v>
      </c>
      <c r="I1858" s="6" t="s">
        <v>64</v>
      </c>
      <c r="J1858" s="6" t="s">
        <v>1628</v>
      </c>
      <c r="K1858" s="7">
        <v>43600</v>
      </c>
      <c r="L1858" s="8">
        <v>0.40972222222222227</v>
      </c>
      <c r="M1858" s="6" t="s">
        <v>2907</v>
      </c>
      <c r="N1858" s="6" t="s">
        <v>21</v>
      </c>
      <c r="O1858" s="6" t="s">
        <v>22</v>
      </c>
    </row>
    <row r="1859" spans="1:15" hidden="1">
      <c r="A1859" t="s">
        <v>15</v>
      </c>
      <c r="B1859" t="str">
        <f>"FES1162689867"</f>
        <v>FES1162689867</v>
      </c>
      <c r="C1859" s="9">
        <v>43599</v>
      </c>
      <c r="D1859">
        <v>1</v>
      </c>
      <c r="E1859">
        <v>2170688364</v>
      </c>
      <c r="F1859" t="s">
        <v>16</v>
      </c>
      <c r="G1859" t="s">
        <v>17</v>
      </c>
      <c r="H1859" t="s">
        <v>43</v>
      </c>
      <c r="I1859" t="s">
        <v>44</v>
      </c>
      <c r="J1859" t="s">
        <v>2908</v>
      </c>
      <c r="K1859" s="9">
        <v>43600</v>
      </c>
      <c r="L1859" s="10">
        <v>0.31597222222222221</v>
      </c>
      <c r="M1859" t="s">
        <v>2909</v>
      </c>
      <c r="N1859" t="s">
        <v>2910</v>
      </c>
      <c r="O1859" t="s">
        <v>22</v>
      </c>
    </row>
    <row r="1860" spans="1:15" hidden="1">
      <c r="A1860" t="s">
        <v>15</v>
      </c>
      <c r="B1860" t="str">
        <f>"FES1162689853"</f>
        <v>FES1162689853</v>
      </c>
      <c r="C1860" s="9">
        <v>43599</v>
      </c>
      <c r="D1860">
        <v>1</v>
      </c>
      <c r="E1860">
        <v>2170688146</v>
      </c>
      <c r="F1860" t="s">
        <v>16</v>
      </c>
      <c r="G1860" t="s">
        <v>17</v>
      </c>
      <c r="H1860" t="s">
        <v>43</v>
      </c>
      <c r="I1860" t="s">
        <v>60</v>
      </c>
      <c r="J1860" t="s">
        <v>242</v>
      </c>
      <c r="K1860" s="9">
        <v>43601</v>
      </c>
      <c r="L1860" s="10">
        <v>0.38055555555555554</v>
      </c>
      <c r="M1860" t="s">
        <v>2649</v>
      </c>
      <c r="N1860" t="s">
        <v>2911</v>
      </c>
      <c r="O1860" t="s">
        <v>22</v>
      </c>
    </row>
    <row r="1861" spans="1:15" hidden="1">
      <c r="A1861" t="s">
        <v>15</v>
      </c>
      <c r="B1861" t="str">
        <f>"FES1162689800"</f>
        <v>FES1162689800</v>
      </c>
      <c r="C1861" s="9">
        <v>43599</v>
      </c>
      <c r="D1861">
        <v>1</v>
      </c>
      <c r="E1861">
        <v>2170688292</v>
      </c>
      <c r="F1861" t="s">
        <v>16</v>
      </c>
      <c r="G1861" t="s">
        <v>17</v>
      </c>
      <c r="H1861" t="s">
        <v>43</v>
      </c>
      <c r="I1861" t="s">
        <v>44</v>
      </c>
      <c r="J1861" t="s">
        <v>1885</v>
      </c>
      <c r="K1861" s="9">
        <v>43600</v>
      </c>
      <c r="L1861" s="10">
        <v>0.32291666666666669</v>
      </c>
      <c r="M1861" t="s">
        <v>2912</v>
      </c>
      <c r="N1861" t="s">
        <v>2913</v>
      </c>
      <c r="O1861" t="s">
        <v>22</v>
      </c>
    </row>
    <row r="1862" spans="1:15" hidden="1">
      <c r="A1862" t="s">
        <v>15</v>
      </c>
      <c r="B1862" t="str">
        <f>"FES1162689864"</f>
        <v>FES1162689864</v>
      </c>
      <c r="C1862" s="9">
        <v>43599</v>
      </c>
      <c r="D1862">
        <v>1</v>
      </c>
      <c r="E1862">
        <v>2170688357</v>
      </c>
      <c r="F1862" t="s">
        <v>16</v>
      </c>
      <c r="G1862" t="s">
        <v>17</v>
      </c>
      <c r="H1862" t="s">
        <v>290</v>
      </c>
      <c r="I1862" t="s">
        <v>291</v>
      </c>
      <c r="J1862" t="s">
        <v>297</v>
      </c>
      <c r="K1862" s="9">
        <v>43600</v>
      </c>
      <c r="L1862" s="10">
        <v>0.34861111111111115</v>
      </c>
      <c r="M1862" t="s">
        <v>298</v>
      </c>
      <c r="N1862" t="s">
        <v>2914</v>
      </c>
      <c r="O1862" t="s">
        <v>22</v>
      </c>
    </row>
    <row r="1863" spans="1:15" hidden="1">
      <c r="A1863" t="s">
        <v>15</v>
      </c>
      <c r="B1863" t="str">
        <f>"FES1162689862"</f>
        <v>FES1162689862</v>
      </c>
      <c r="C1863" s="9">
        <v>43599</v>
      </c>
      <c r="D1863">
        <v>1</v>
      </c>
      <c r="E1863">
        <v>2170688355</v>
      </c>
      <c r="F1863" t="s">
        <v>16</v>
      </c>
      <c r="G1863" t="s">
        <v>17</v>
      </c>
      <c r="H1863" t="s">
        <v>132</v>
      </c>
      <c r="I1863" t="s">
        <v>133</v>
      </c>
      <c r="J1863" t="s">
        <v>238</v>
      </c>
      <c r="K1863" s="9">
        <v>43600</v>
      </c>
      <c r="L1863" s="10">
        <v>0.35416666666666669</v>
      </c>
      <c r="M1863" t="s">
        <v>2915</v>
      </c>
      <c r="N1863" t="s">
        <v>2916</v>
      </c>
      <c r="O1863" t="s">
        <v>22</v>
      </c>
    </row>
    <row r="1864" spans="1:15" hidden="1">
      <c r="A1864" t="s">
        <v>15</v>
      </c>
      <c r="B1864" t="str">
        <f>"FES1162689854"</f>
        <v>FES1162689854</v>
      </c>
      <c r="C1864" s="9">
        <v>43599</v>
      </c>
      <c r="D1864">
        <v>1</v>
      </c>
      <c r="E1864">
        <v>2170688344</v>
      </c>
      <c r="F1864" t="s">
        <v>16</v>
      </c>
      <c r="G1864" t="s">
        <v>17</v>
      </c>
      <c r="H1864" t="s">
        <v>32</v>
      </c>
      <c r="I1864" t="s">
        <v>33</v>
      </c>
      <c r="J1864" t="s">
        <v>2917</v>
      </c>
      <c r="K1864" s="9">
        <v>43600</v>
      </c>
      <c r="L1864" s="10">
        <v>0.40763888888888888</v>
      </c>
      <c r="M1864" t="s">
        <v>2918</v>
      </c>
      <c r="N1864" t="s">
        <v>2919</v>
      </c>
      <c r="O1864" t="s">
        <v>22</v>
      </c>
    </row>
    <row r="1865" spans="1:15" hidden="1">
      <c r="A1865" t="s">
        <v>15</v>
      </c>
      <c r="B1865" t="str">
        <f>"FES1162689869"</f>
        <v>FES1162689869</v>
      </c>
      <c r="C1865" s="9">
        <v>43599</v>
      </c>
      <c r="D1865">
        <v>1</v>
      </c>
      <c r="E1865">
        <v>2170688251</v>
      </c>
      <c r="F1865" t="s">
        <v>16</v>
      </c>
      <c r="G1865" t="s">
        <v>17</v>
      </c>
      <c r="H1865" t="s">
        <v>43</v>
      </c>
      <c r="I1865" t="s">
        <v>44</v>
      </c>
      <c r="J1865" t="s">
        <v>748</v>
      </c>
      <c r="K1865" s="9">
        <v>43600</v>
      </c>
      <c r="L1865" s="10">
        <v>0.41666666666666669</v>
      </c>
      <c r="M1865" t="s">
        <v>1194</v>
      </c>
      <c r="N1865" t="s">
        <v>2920</v>
      </c>
      <c r="O1865" t="s">
        <v>22</v>
      </c>
    </row>
    <row r="1866" spans="1:15">
      <c r="A1866" s="6" t="s">
        <v>15</v>
      </c>
      <c r="B1866" s="6" t="str">
        <f>"FES1162689731"</f>
        <v>FES1162689731</v>
      </c>
      <c r="C1866" s="7">
        <v>43599</v>
      </c>
      <c r="D1866" s="6">
        <v>1</v>
      </c>
      <c r="E1866" s="6">
        <v>217068211</v>
      </c>
      <c r="F1866" s="6" t="s">
        <v>16</v>
      </c>
      <c r="G1866" s="6" t="s">
        <v>17</v>
      </c>
      <c r="H1866" s="6" t="s">
        <v>17</v>
      </c>
      <c r="I1866" s="6" t="s">
        <v>103</v>
      </c>
      <c r="J1866" s="6" t="s">
        <v>573</v>
      </c>
      <c r="K1866" s="7">
        <v>43600</v>
      </c>
      <c r="L1866" s="8">
        <v>0.33333333333333331</v>
      </c>
      <c r="M1866" s="6" t="s">
        <v>2876</v>
      </c>
      <c r="N1866" s="6" t="s">
        <v>21</v>
      </c>
      <c r="O1866" s="6" t="s">
        <v>22</v>
      </c>
    </row>
    <row r="1867" spans="1:15" hidden="1">
      <c r="A1867" t="s">
        <v>15</v>
      </c>
      <c r="B1867" t="str">
        <f>"FES1162689851"</f>
        <v>FES1162689851</v>
      </c>
      <c r="C1867" s="9">
        <v>43599</v>
      </c>
      <c r="D1867">
        <v>1</v>
      </c>
      <c r="E1867">
        <v>2170687602</v>
      </c>
      <c r="F1867" t="s">
        <v>16</v>
      </c>
      <c r="G1867" t="s">
        <v>17</v>
      </c>
      <c r="H1867" t="s">
        <v>43</v>
      </c>
      <c r="I1867" t="s">
        <v>75</v>
      </c>
      <c r="J1867" t="s">
        <v>76</v>
      </c>
      <c r="K1867" s="9">
        <v>43600</v>
      </c>
      <c r="L1867" s="10">
        <v>0.47916666666666669</v>
      </c>
      <c r="M1867" t="s">
        <v>663</v>
      </c>
      <c r="N1867" t="s">
        <v>2921</v>
      </c>
      <c r="O1867" t="s">
        <v>22</v>
      </c>
    </row>
    <row r="1868" spans="1:15">
      <c r="A1868" s="6" t="s">
        <v>15</v>
      </c>
      <c r="B1868" s="6" t="str">
        <f>"FES1162689795"</f>
        <v>FES1162689795</v>
      </c>
      <c r="C1868" s="7">
        <v>43599</v>
      </c>
      <c r="D1868" s="6">
        <v>1</v>
      </c>
      <c r="E1868" s="6">
        <v>2170688286</v>
      </c>
      <c r="F1868" s="6" t="s">
        <v>16</v>
      </c>
      <c r="G1868" s="6" t="s">
        <v>17</v>
      </c>
      <c r="H1868" s="6" t="s">
        <v>17</v>
      </c>
      <c r="I1868" s="6" t="s">
        <v>64</v>
      </c>
      <c r="J1868" s="6" t="s">
        <v>2922</v>
      </c>
      <c r="K1868" s="7">
        <v>43600</v>
      </c>
      <c r="L1868" s="8">
        <v>0.35416666666666669</v>
      </c>
      <c r="M1868" s="6" t="s">
        <v>2923</v>
      </c>
      <c r="N1868" s="6" t="s">
        <v>21</v>
      </c>
      <c r="O1868" s="6" t="s">
        <v>22</v>
      </c>
    </row>
    <row r="1869" spans="1:15" hidden="1">
      <c r="A1869" t="s">
        <v>15</v>
      </c>
      <c r="B1869" t="str">
        <f>"FES1162689820"</f>
        <v>FES1162689820</v>
      </c>
      <c r="C1869" s="9">
        <v>43599</v>
      </c>
      <c r="D1869">
        <v>1</v>
      </c>
      <c r="E1869">
        <v>2170688313</v>
      </c>
      <c r="F1869" t="s">
        <v>16</v>
      </c>
      <c r="G1869" t="s">
        <v>17</v>
      </c>
      <c r="H1869" t="s">
        <v>290</v>
      </c>
      <c r="I1869" t="s">
        <v>309</v>
      </c>
      <c r="J1869" t="s">
        <v>2924</v>
      </c>
      <c r="K1869" s="9">
        <v>43600</v>
      </c>
      <c r="L1869" s="10">
        <v>0.43055555555555558</v>
      </c>
      <c r="M1869" t="s">
        <v>2925</v>
      </c>
      <c r="N1869" t="s">
        <v>2926</v>
      </c>
      <c r="O1869" t="s">
        <v>22</v>
      </c>
    </row>
    <row r="1870" spans="1:15" hidden="1">
      <c r="A1870" t="s">
        <v>15</v>
      </c>
      <c r="B1870" t="str">
        <f>"FES1162689819"</f>
        <v>FES1162689819</v>
      </c>
      <c r="C1870" s="9">
        <v>43599</v>
      </c>
      <c r="D1870">
        <v>1</v>
      </c>
      <c r="E1870">
        <v>2170688312</v>
      </c>
      <c r="F1870" t="s">
        <v>16</v>
      </c>
      <c r="G1870" t="s">
        <v>17</v>
      </c>
      <c r="H1870" t="s">
        <v>43</v>
      </c>
      <c r="I1870" t="s">
        <v>44</v>
      </c>
      <c r="J1870" t="s">
        <v>798</v>
      </c>
      <c r="K1870" s="9">
        <v>43600</v>
      </c>
      <c r="L1870" s="10">
        <v>0.41666666666666669</v>
      </c>
      <c r="M1870" t="s">
        <v>799</v>
      </c>
      <c r="N1870" t="s">
        <v>2927</v>
      </c>
      <c r="O1870" t="s">
        <v>22</v>
      </c>
    </row>
    <row r="1871" spans="1:15" hidden="1">
      <c r="A1871" t="s">
        <v>15</v>
      </c>
      <c r="B1871" t="str">
        <f>"FES1162688662"</f>
        <v>FES1162688662</v>
      </c>
      <c r="C1871" s="9">
        <v>43599</v>
      </c>
      <c r="D1871">
        <v>1</v>
      </c>
      <c r="E1871">
        <v>2170687447</v>
      </c>
      <c r="F1871" t="s">
        <v>16</v>
      </c>
      <c r="G1871" t="s">
        <v>17</v>
      </c>
      <c r="H1871" t="s">
        <v>132</v>
      </c>
      <c r="I1871" t="s">
        <v>133</v>
      </c>
      <c r="J1871" t="s">
        <v>238</v>
      </c>
      <c r="K1871" s="9">
        <v>43600</v>
      </c>
      <c r="L1871" s="10">
        <v>0.35416666666666669</v>
      </c>
      <c r="M1871" t="s">
        <v>2915</v>
      </c>
      <c r="N1871" t="s">
        <v>2928</v>
      </c>
      <c r="O1871" t="s">
        <v>22</v>
      </c>
    </row>
    <row r="1872" spans="1:15" hidden="1">
      <c r="A1872" t="s">
        <v>15</v>
      </c>
      <c r="B1872" t="str">
        <f>"FES1162689874"</f>
        <v>FES1162689874</v>
      </c>
      <c r="C1872" s="9">
        <v>43599</v>
      </c>
      <c r="D1872">
        <v>1</v>
      </c>
      <c r="E1872">
        <v>2170677444</v>
      </c>
      <c r="F1872" t="s">
        <v>16</v>
      </c>
      <c r="G1872" t="s">
        <v>17</v>
      </c>
      <c r="H1872" t="s">
        <v>32</v>
      </c>
      <c r="I1872" t="s">
        <v>33</v>
      </c>
      <c r="J1872" t="s">
        <v>34</v>
      </c>
      <c r="K1872" s="9">
        <v>43600</v>
      </c>
      <c r="L1872" s="10">
        <v>0.40625</v>
      </c>
      <c r="M1872" t="s">
        <v>35</v>
      </c>
      <c r="N1872" t="s">
        <v>2929</v>
      </c>
      <c r="O1872" t="s">
        <v>22</v>
      </c>
    </row>
    <row r="1873" spans="1:15">
      <c r="A1873" s="6" t="s">
        <v>15</v>
      </c>
      <c r="B1873" s="6" t="str">
        <f>"009937931201"</f>
        <v>009937931201</v>
      </c>
      <c r="C1873" s="7">
        <v>43599</v>
      </c>
      <c r="D1873" s="6">
        <v>1</v>
      </c>
      <c r="E1873" s="6" t="s">
        <v>1060</v>
      </c>
      <c r="F1873" s="6" t="s">
        <v>16</v>
      </c>
      <c r="G1873" s="6" t="s">
        <v>290</v>
      </c>
      <c r="H1873" s="6" t="s">
        <v>17</v>
      </c>
      <c r="I1873" s="6" t="s">
        <v>64</v>
      </c>
      <c r="J1873" s="6" t="s">
        <v>2930</v>
      </c>
      <c r="K1873" s="7">
        <v>43600</v>
      </c>
      <c r="L1873" s="8">
        <v>0.3833333333333333</v>
      </c>
      <c r="M1873" s="6" t="s">
        <v>477</v>
      </c>
      <c r="N1873" s="6" t="s">
        <v>21</v>
      </c>
      <c r="O1873" s="6" t="s">
        <v>22</v>
      </c>
    </row>
    <row r="1874" spans="1:15">
      <c r="A1874" s="6" t="s">
        <v>15</v>
      </c>
      <c r="B1874" s="6" t="str">
        <f>"009936741526"</f>
        <v>009936741526</v>
      </c>
      <c r="C1874" s="7">
        <v>43599</v>
      </c>
      <c r="D1874" s="6">
        <v>1</v>
      </c>
      <c r="E1874" s="6" t="s">
        <v>1060</v>
      </c>
      <c r="F1874" s="6" t="s">
        <v>16</v>
      </c>
      <c r="G1874" s="6" t="s">
        <v>322</v>
      </c>
      <c r="H1874" s="6" t="s">
        <v>17</v>
      </c>
      <c r="I1874" s="6" t="s">
        <v>64</v>
      </c>
      <c r="J1874" s="6" t="s">
        <v>2931</v>
      </c>
      <c r="K1874" s="7">
        <v>43600</v>
      </c>
      <c r="L1874" s="8">
        <v>0.3833333333333333</v>
      </c>
      <c r="M1874" s="6" t="s">
        <v>477</v>
      </c>
      <c r="N1874" s="6" t="s">
        <v>21</v>
      </c>
      <c r="O1874" s="6" t="s">
        <v>22</v>
      </c>
    </row>
    <row r="1875" spans="1:15" ht="15.75" thickBot="1">
      <c r="A1875" s="11" t="s">
        <v>15</v>
      </c>
      <c r="B1875" s="11" t="str">
        <f>"029908344446"</f>
        <v>029908344446</v>
      </c>
      <c r="C1875" s="12">
        <v>43599</v>
      </c>
      <c r="D1875" s="11">
        <v>1</v>
      </c>
      <c r="E1875" s="11" t="s">
        <v>1060</v>
      </c>
      <c r="F1875" s="11" t="s">
        <v>1433</v>
      </c>
      <c r="G1875" s="11" t="s">
        <v>141</v>
      </c>
      <c r="H1875" s="11" t="s">
        <v>17</v>
      </c>
      <c r="I1875" s="11" t="s">
        <v>64</v>
      </c>
      <c r="J1875" s="11" t="s">
        <v>1061</v>
      </c>
      <c r="K1875" s="12">
        <v>43600</v>
      </c>
      <c r="L1875" s="13">
        <v>0.3833333333333333</v>
      </c>
      <c r="M1875" s="11" t="s">
        <v>477</v>
      </c>
      <c r="N1875" s="11" t="s">
        <v>21</v>
      </c>
      <c r="O1875" s="11" t="s">
        <v>22</v>
      </c>
    </row>
    <row r="1876" spans="1:15">
      <c r="A1876" s="3" t="s">
        <v>15</v>
      </c>
      <c r="B1876" s="3" t="str">
        <f>"FES1162689936"</f>
        <v>FES1162689936</v>
      </c>
      <c r="C1876" s="4">
        <v>43600</v>
      </c>
      <c r="D1876" s="3">
        <v>1</v>
      </c>
      <c r="E1876" s="3">
        <v>2170683098</v>
      </c>
      <c r="F1876" s="3" t="s">
        <v>16</v>
      </c>
      <c r="G1876" s="3" t="s">
        <v>17</v>
      </c>
      <c r="H1876" s="3" t="s">
        <v>17</v>
      </c>
      <c r="I1876" s="3" t="s">
        <v>23</v>
      </c>
      <c r="J1876" s="3" t="s">
        <v>2932</v>
      </c>
      <c r="K1876" s="4">
        <v>43601</v>
      </c>
      <c r="L1876" s="5">
        <v>0.375</v>
      </c>
      <c r="M1876" s="3" t="s">
        <v>2933</v>
      </c>
      <c r="N1876" s="3" t="s">
        <v>21</v>
      </c>
      <c r="O1876" s="3" t="s">
        <v>22</v>
      </c>
    </row>
    <row r="1877" spans="1:15" hidden="1">
      <c r="A1877" t="s">
        <v>15</v>
      </c>
      <c r="B1877" t="str">
        <f>"080002301044"</f>
        <v>080002301044</v>
      </c>
      <c r="C1877" s="9">
        <v>43600</v>
      </c>
      <c r="D1877">
        <v>1</v>
      </c>
      <c r="E1877" t="s">
        <v>2934</v>
      </c>
      <c r="F1877" t="s">
        <v>16</v>
      </c>
      <c r="G1877" t="s">
        <v>32</v>
      </c>
      <c r="H1877" t="s">
        <v>290</v>
      </c>
      <c r="I1877" t="s">
        <v>291</v>
      </c>
      <c r="J1877" t="s">
        <v>2935</v>
      </c>
      <c r="K1877" s="9">
        <v>43600</v>
      </c>
      <c r="L1877" s="10">
        <v>0.33333333333333331</v>
      </c>
      <c r="M1877" t="s">
        <v>2936</v>
      </c>
      <c r="N1877" t="s">
        <v>2937</v>
      </c>
      <c r="O1877" t="s">
        <v>22</v>
      </c>
    </row>
    <row r="1878" spans="1:15" hidden="1">
      <c r="A1878" t="s">
        <v>15</v>
      </c>
      <c r="B1878" t="str">
        <f>"FES1162689926"</f>
        <v>FES1162689926</v>
      </c>
      <c r="C1878" s="9">
        <v>43600</v>
      </c>
      <c r="D1878">
        <v>1</v>
      </c>
      <c r="E1878">
        <v>2170688411</v>
      </c>
      <c r="F1878" t="s">
        <v>16</v>
      </c>
      <c r="G1878" t="s">
        <v>17</v>
      </c>
      <c r="H1878" t="s">
        <v>425</v>
      </c>
      <c r="I1878" t="s">
        <v>426</v>
      </c>
      <c r="J1878" t="s">
        <v>783</v>
      </c>
      <c r="K1878" s="9">
        <v>43601</v>
      </c>
      <c r="L1878" s="10">
        <v>0.3979166666666667</v>
      </c>
      <c r="M1878" t="s">
        <v>937</v>
      </c>
      <c r="N1878" t="s">
        <v>2938</v>
      </c>
      <c r="O1878" t="s">
        <v>22</v>
      </c>
    </row>
    <row r="1879" spans="1:15">
      <c r="A1879" s="6" t="s">
        <v>15</v>
      </c>
      <c r="B1879" s="6" t="str">
        <f>"FES1162689898"</f>
        <v>FES1162689898</v>
      </c>
      <c r="C1879" s="7">
        <v>43600</v>
      </c>
      <c r="D1879" s="6">
        <v>1</v>
      </c>
      <c r="E1879" s="6">
        <v>2170688377</v>
      </c>
      <c r="F1879" s="6" t="s">
        <v>16</v>
      </c>
      <c r="G1879" s="6" t="s">
        <v>17</v>
      </c>
      <c r="H1879" s="6" t="s">
        <v>17</v>
      </c>
      <c r="I1879" s="6" t="s">
        <v>18</v>
      </c>
      <c r="J1879" s="6" t="s">
        <v>19</v>
      </c>
      <c r="K1879" s="7">
        <v>43601</v>
      </c>
      <c r="L1879" s="8">
        <v>0.4201388888888889</v>
      </c>
      <c r="M1879" s="6" t="s">
        <v>1748</v>
      </c>
      <c r="N1879" s="6" t="s">
        <v>21</v>
      </c>
      <c r="O1879" s="6" t="s">
        <v>22</v>
      </c>
    </row>
    <row r="1880" spans="1:15">
      <c r="A1880" s="6" t="s">
        <v>15</v>
      </c>
      <c r="B1880" s="6" t="str">
        <f>"FES1162689897"</f>
        <v>FES1162689897</v>
      </c>
      <c r="C1880" s="7">
        <v>43600</v>
      </c>
      <c r="D1880" s="6">
        <v>1</v>
      </c>
      <c r="E1880" s="6">
        <v>2170688373</v>
      </c>
      <c r="F1880" s="6" t="s">
        <v>16</v>
      </c>
      <c r="G1880" s="6" t="s">
        <v>17</v>
      </c>
      <c r="H1880" s="6" t="s">
        <v>17</v>
      </c>
      <c r="I1880" s="6" t="s">
        <v>18</v>
      </c>
      <c r="J1880" s="6" t="s">
        <v>19</v>
      </c>
      <c r="K1880" s="7">
        <v>43601</v>
      </c>
      <c r="L1880" s="8">
        <v>0.4201388888888889</v>
      </c>
      <c r="M1880" s="6" t="s">
        <v>1327</v>
      </c>
      <c r="N1880" s="6" t="s">
        <v>21</v>
      </c>
      <c r="O1880" s="6" t="s">
        <v>22</v>
      </c>
    </row>
    <row r="1881" spans="1:15">
      <c r="A1881" s="6" t="s">
        <v>15</v>
      </c>
      <c r="B1881" s="6" t="str">
        <f>"FES1162689944"</f>
        <v>FES1162689944</v>
      </c>
      <c r="C1881" s="7">
        <v>43600</v>
      </c>
      <c r="D1881" s="6">
        <v>1</v>
      </c>
      <c r="E1881" s="6">
        <v>2170686336</v>
      </c>
      <c r="F1881" s="6" t="s">
        <v>16</v>
      </c>
      <c r="G1881" s="6" t="s">
        <v>17</v>
      </c>
      <c r="H1881" s="6" t="s">
        <v>17</v>
      </c>
      <c r="I1881" s="6" t="s">
        <v>935</v>
      </c>
      <c r="J1881" s="6" t="s">
        <v>936</v>
      </c>
      <c r="K1881" s="7">
        <v>43601</v>
      </c>
      <c r="L1881" s="8">
        <v>0.4375</v>
      </c>
      <c r="M1881" s="6" t="s">
        <v>152</v>
      </c>
      <c r="N1881" s="6" t="s">
        <v>21</v>
      </c>
      <c r="O1881" s="6" t="s">
        <v>22</v>
      </c>
    </row>
    <row r="1882" spans="1:15">
      <c r="A1882" s="6" t="s">
        <v>15</v>
      </c>
      <c r="B1882" s="6" t="str">
        <f>"FES1162689921"</f>
        <v>FES1162689921</v>
      </c>
      <c r="C1882" s="7">
        <v>43600</v>
      </c>
      <c r="D1882" s="6">
        <v>1</v>
      </c>
      <c r="E1882" s="6">
        <v>2170688370</v>
      </c>
      <c r="F1882" s="6" t="s">
        <v>16</v>
      </c>
      <c r="G1882" s="6" t="s">
        <v>17</v>
      </c>
      <c r="H1882" s="6" t="s">
        <v>17</v>
      </c>
      <c r="I1882" s="6" t="s">
        <v>64</v>
      </c>
      <c r="J1882" s="6" t="s">
        <v>2939</v>
      </c>
      <c r="K1882" s="7">
        <v>43601</v>
      </c>
      <c r="L1882" s="8">
        <v>0.4375</v>
      </c>
      <c r="M1882" s="6" t="s">
        <v>2058</v>
      </c>
      <c r="N1882" s="6" t="s">
        <v>21</v>
      </c>
      <c r="O1882" s="6" t="s">
        <v>22</v>
      </c>
    </row>
    <row r="1883" spans="1:15">
      <c r="A1883" s="6" t="s">
        <v>15</v>
      </c>
      <c r="B1883" s="6" t="str">
        <f>"FES1162689877"</f>
        <v>FES1162689877</v>
      </c>
      <c r="C1883" s="7">
        <v>43600</v>
      </c>
      <c r="D1883" s="6">
        <v>1</v>
      </c>
      <c r="E1883" s="6">
        <v>2170684526</v>
      </c>
      <c r="F1883" s="6" t="s">
        <v>16</v>
      </c>
      <c r="G1883" s="6" t="s">
        <v>17</v>
      </c>
      <c r="H1883" s="6" t="s">
        <v>17</v>
      </c>
      <c r="I1883" s="6" t="s">
        <v>67</v>
      </c>
      <c r="J1883" s="6" t="s">
        <v>408</v>
      </c>
      <c r="K1883" s="7">
        <v>43601</v>
      </c>
      <c r="L1883" s="8">
        <v>0.4375</v>
      </c>
      <c r="M1883" s="6" t="s">
        <v>2940</v>
      </c>
      <c r="N1883" s="6" t="s">
        <v>21</v>
      </c>
      <c r="O1883" s="6" t="s">
        <v>22</v>
      </c>
    </row>
    <row r="1884" spans="1:15" hidden="1">
      <c r="A1884" t="s">
        <v>15</v>
      </c>
      <c r="B1884" t="str">
        <f>"FES1162689905"</f>
        <v>FES1162689905</v>
      </c>
      <c r="C1884" s="9">
        <v>43600</v>
      </c>
      <c r="D1884">
        <v>1</v>
      </c>
      <c r="E1884">
        <v>2170688388</v>
      </c>
      <c r="F1884" t="s">
        <v>16</v>
      </c>
      <c r="G1884" t="s">
        <v>17</v>
      </c>
      <c r="H1884" t="s">
        <v>43</v>
      </c>
      <c r="I1884" t="s">
        <v>44</v>
      </c>
      <c r="J1884" t="s">
        <v>1968</v>
      </c>
      <c r="K1884" s="9">
        <v>43601</v>
      </c>
      <c r="L1884" s="10">
        <v>0.41666666666666669</v>
      </c>
      <c r="M1884" t="s">
        <v>2941</v>
      </c>
      <c r="N1884" t="s">
        <v>2942</v>
      </c>
      <c r="O1884" t="s">
        <v>22</v>
      </c>
    </row>
    <row r="1885" spans="1:15" hidden="1">
      <c r="A1885" t="s">
        <v>15</v>
      </c>
      <c r="B1885" t="str">
        <f>"FES1162689916"</f>
        <v>FES1162689916</v>
      </c>
      <c r="C1885" s="9">
        <v>43600</v>
      </c>
      <c r="D1885">
        <v>1</v>
      </c>
      <c r="E1885">
        <v>2170688400</v>
      </c>
      <c r="F1885" t="s">
        <v>16</v>
      </c>
      <c r="G1885" t="s">
        <v>17</v>
      </c>
      <c r="H1885" t="s">
        <v>43</v>
      </c>
      <c r="I1885" t="s">
        <v>2943</v>
      </c>
      <c r="J1885" t="s">
        <v>2944</v>
      </c>
      <c r="K1885" s="9">
        <v>43601</v>
      </c>
      <c r="L1885" s="10">
        <v>0.4916666666666667</v>
      </c>
      <c r="M1885" t="s">
        <v>2945</v>
      </c>
      <c r="N1885" t="s">
        <v>2946</v>
      </c>
      <c r="O1885" t="s">
        <v>22</v>
      </c>
    </row>
    <row r="1886" spans="1:15">
      <c r="A1886" s="6" t="s">
        <v>15</v>
      </c>
      <c r="B1886" s="6" t="str">
        <f>"FES1162689990"</f>
        <v>FES1162689990</v>
      </c>
      <c r="C1886" s="7">
        <v>43600</v>
      </c>
      <c r="D1886" s="6">
        <v>1</v>
      </c>
      <c r="E1886" s="6">
        <v>2170688431</v>
      </c>
      <c r="F1886" s="6" t="s">
        <v>16</v>
      </c>
      <c r="G1886" s="6" t="s">
        <v>17</v>
      </c>
      <c r="H1886" s="6" t="s">
        <v>17</v>
      </c>
      <c r="I1886" s="6" t="s">
        <v>701</v>
      </c>
      <c r="J1886" s="6" t="s">
        <v>1379</v>
      </c>
      <c r="K1886" s="7">
        <v>43601</v>
      </c>
      <c r="L1886" s="8">
        <v>0.35972222222222222</v>
      </c>
      <c r="M1886" s="6" t="s">
        <v>2947</v>
      </c>
      <c r="N1886" s="6" t="s">
        <v>21</v>
      </c>
      <c r="O1886" s="6" t="s">
        <v>22</v>
      </c>
    </row>
    <row r="1887" spans="1:15">
      <c r="A1887" s="6" t="s">
        <v>15</v>
      </c>
      <c r="B1887" s="6" t="str">
        <f>"FES1162689982"</f>
        <v>FES1162689982</v>
      </c>
      <c r="C1887" s="7">
        <v>43600</v>
      </c>
      <c r="D1887" s="6">
        <v>1</v>
      </c>
      <c r="E1887" s="6">
        <v>2170687488</v>
      </c>
      <c r="F1887" s="6" t="s">
        <v>16</v>
      </c>
      <c r="G1887" s="6" t="s">
        <v>17</v>
      </c>
      <c r="H1887" s="6" t="s">
        <v>17</v>
      </c>
      <c r="I1887" s="6" t="s">
        <v>64</v>
      </c>
      <c r="J1887" s="6" t="s">
        <v>552</v>
      </c>
      <c r="K1887" s="7">
        <v>43601</v>
      </c>
      <c r="L1887" s="8">
        <v>0.33333333333333331</v>
      </c>
      <c r="M1887" s="6" t="s">
        <v>1144</v>
      </c>
      <c r="N1887" s="6" t="s">
        <v>21</v>
      </c>
      <c r="O1887" s="6" t="s">
        <v>22</v>
      </c>
    </row>
    <row r="1888" spans="1:15">
      <c r="A1888" s="6" t="s">
        <v>15</v>
      </c>
      <c r="B1888" s="6" t="str">
        <f>"FES1162689934"</f>
        <v>FES1162689934</v>
      </c>
      <c r="C1888" s="7">
        <v>43600</v>
      </c>
      <c r="D1888" s="6">
        <v>1</v>
      </c>
      <c r="E1888" s="6">
        <v>2170688419</v>
      </c>
      <c r="F1888" s="6" t="s">
        <v>16</v>
      </c>
      <c r="G1888" s="6" t="s">
        <v>17</v>
      </c>
      <c r="H1888" s="6" t="s">
        <v>17</v>
      </c>
      <c r="I1888" s="6" t="s">
        <v>18</v>
      </c>
      <c r="J1888" s="6" t="s">
        <v>19</v>
      </c>
      <c r="K1888" s="7">
        <v>43601</v>
      </c>
      <c r="L1888" s="8">
        <v>0.4201388888888889</v>
      </c>
      <c r="M1888" s="6" t="s">
        <v>1327</v>
      </c>
      <c r="N1888" s="6" t="s">
        <v>21</v>
      </c>
      <c r="O1888" s="6" t="s">
        <v>22</v>
      </c>
    </row>
    <row r="1889" spans="1:15" hidden="1">
      <c r="A1889" t="s">
        <v>15</v>
      </c>
      <c r="B1889" t="str">
        <f>"FES1162689961"</f>
        <v>FES1162689961</v>
      </c>
      <c r="C1889" s="9">
        <v>43600</v>
      </c>
      <c r="D1889">
        <v>1</v>
      </c>
      <c r="E1889">
        <v>2170686750</v>
      </c>
      <c r="F1889" t="s">
        <v>16</v>
      </c>
      <c r="G1889" t="s">
        <v>17</v>
      </c>
      <c r="H1889" t="s">
        <v>43</v>
      </c>
      <c r="I1889" t="s">
        <v>44</v>
      </c>
      <c r="J1889" t="s">
        <v>924</v>
      </c>
      <c r="K1889" s="9">
        <v>43601</v>
      </c>
      <c r="L1889" s="10">
        <v>0.41666666666666669</v>
      </c>
      <c r="M1889" t="s">
        <v>2948</v>
      </c>
      <c r="N1889" t="s">
        <v>2949</v>
      </c>
      <c r="O1889" t="s">
        <v>22</v>
      </c>
    </row>
    <row r="1890" spans="1:15" hidden="1">
      <c r="A1890" t="s">
        <v>15</v>
      </c>
      <c r="B1890" t="str">
        <f>"FES1162689889"</f>
        <v>FES1162689889</v>
      </c>
      <c r="C1890" s="9">
        <v>43600</v>
      </c>
      <c r="D1890">
        <v>1</v>
      </c>
      <c r="E1890">
        <v>21706874196</v>
      </c>
      <c r="F1890" t="s">
        <v>16</v>
      </c>
      <c r="G1890" t="s">
        <v>17</v>
      </c>
      <c r="H1890" t="s">
        <v>32</v>
      </c>
      <c r="I1890" t="s">
        <v>269</v>
      </c>
      <c r="J1890" t="s">
        <v>609</v>
      </c>
      <c r="K1890" s="9">
        <v>43601</v>
      </c>
      <c r="L1890" s="10">
        <v>0.33680555555555558</v>
      </c>
      <c r="M1890" t="s">
        <v>2950</v>
      </c>
      <c r="N1890" t="s">
        <v>2951</v>
      </c>
      <c r="O1890" t="s">
        <v>22</v>
      </c>
    </row>
    <row r="1891" spans="1:15" hidden="1">
      <c r="A1891" t="s">
        <v>15</v>
      </c>
      <c r="B1891" t="str">
        <f>"FES1162689892"</f>
        <v>FES1162689892</v>
      </c>
      <c r="C1891" s="9">
        <v>43600</v>
      </c>
      <c r="D1891">
        <v>1</v>
      </c>
      <c r="E1891">
        <v>2170688363</v>
      </c>
      <c r="F1891" t="s">
        <v>16</v>
      </c>
      <c r="G1891" t="s">
        <v>17</v>
      </c>
      <c r="H1891" t="s">
        <v>37</v>
      </c>
      <c r="I1891" t="s">
        <v>38</v>
      </c>
      <c r="J1891" t="s">
        <v>39</v>
      </c>
      <c r="K1891" s="9">
        <v>43601</v>
      </c>
      <c r="L1891" s="10">
        <v>0.3527777777777778</v>
      </c>
      <c r="M1891" t="s">
        <v>1740</v>
      </c>
      <c r="N1891" t="s">
        <v>2952</v>
      </c>
      <c r="O1891" t="s">
        <v>22</v>
      </c>
    </row>
    <row r="1892" spans="1:15" hidden="1">
      <c r="A1892" t="s">
        <v>15</v>
      </c>
      <c r="B1892" t="str">
        <f>"FES1162689972"</f>
        <v>FES1162689972</v>
      </c>
      <c r="C1892" s="9">
        <v>43600</v>
      </c>
      <c r="D1892">
        <v>1</v>
      </c>
      <c r="E1892">
        <v>2170686898</v>
      </c>
      <c r="F1892" t="s">
        <v>16</v>
      </c>
      <c r="G1892" t="s">
        <v>17</v>
      </c>
      <c r="H1892" t="s">
        <v>43</v>
      </c>
      <c r="I1892" t="s">
        <v>44</v>
      </c>
      <c r="J1892" t="s">
        <v>748</v>
      </c>
      <c r="K1892" s="9">
        <v>43601</v>
      </c>
      <c r="L1892" s="10">
        <v>0.41666666666666669</v>
      </c>
      <c r="M1892" t="s">
        <v>749</v>
      </c>
      <c r="N1892" t="s">
        <v>2953</v>
      </c>
      <c r="O1892" t="s">
        <v>22</v>
      </c>
    </row>
    <row r="1893" spans="1:15" hidden="1">
      <c r="A1893" t="s">
        <v>15</v>
      </c>
      <c r="B1893" t="str">
        <f>"FES1162690016"</f>
        <v>FES1162690016</v>
      </c>
      <c r="C1893" s="9">
        <v>43600</v>
      </c>
      <c r="D1893">
        <v>1</v>
      </c>
      <c r="E1893">
        <v>2170688473</v>
      </c>
      <c r="F1893" t="s">
        <v>16</v>
      </c>
      <c r="G1893" t="s">
        <v>17</v>
      </c>
      <c r="H1893" t="s">
        <v>32</v>
      </c>
      <c r="I1893" t="s">
        <v>33</v>
      </c>
      <c r="J1893" t="s">
        <v>34</v>
      </c>
      <c r="K1893" s="9">
        <v>43601</v>
      </c>
      <c r="L1893" s="10">
        <v>0.34722222222222227</v>
      </c>
      <c r="M1893" t="s">
        <v>35</v>
      </c>
      <c r="N1893" t="s">
        <v>2954</v>
      </c>
      <c r="O1893" t="s">
        <v>22</v>
      </c>
    </row>
    <row r="1894" spans="1:15" hidden="1">
      <c r="A1894" t="s">
        <v>15</v>
      </c>
      <c r="B1894" t="str">
        <f>"FES1162689923"</f>
        <v>FES1162689923</v>
      </c>
      <c r="C1894" s="9">
        <v>43600</v>
      </c>
      <c r="D1894">
        <v>1</v>
      </c>
      <c r="E1894">
        <v>2170688408</v>
      </c>
      <c r="F1894" t="s">
        <v>16</v>
      </c>
      <c r="G1894" t="s">
        <v>17</v>
      </c>
      <c r="H1894" t="s">
        <v>43</v>
      </c>
      <c r="I1894" t="s">
        <v>44</v>
      </c>
      <c r="J1894" t="s">
        <v>51</v>
      </c>
      <c r="K1894" s="9">
        <v>43601</v>
      </c>
      <c r="L1894" s="10">
        <v>0.41666666666666669</v>
      </c>
      <c r="M1894" t="s">
        <v>2955</v>
      </c>
      <c r="N1894" t="s">
        <v>2956</v>
      </c>
      <c r="O1894" t="s">
        <v>22</v>
      </c>
    </row>
    <row r="1895" spans="1:15" hidden="1">
      <c r="A1895" t="s">
        <v>15</v>
      </c>
      <c r="B1895" t="str">
        <f>"FES1162689955"</f>
        <v>FES1162689955</v>
      </c>
      <c r="C1895" s="9">
        <v>43600</v>
      </c>
      <c r="D1895">
        <v>1</v>
      </c>
      <c r="E1895">
        <v>2170686528</v>
      </c>
      <c r="F1895" t="s">
        <v>16</v>
      </c>
      <c r="G1895" t="s">
        <v>17</v>
      </c>
      <c r="H1895" t="s">
        <v>37</v>
      </c>
      <c r="I1895" t="s">
        <v>38</v>
      </c>
      <c r="J1895" t="s">
        <v>349</v>
      </c>
      <c r="K1895" s="9">
        <v>43601</v>
      </c>
      <c r="L1895" s="10">
        <v>0.37847222222222227</v>
      </c>
      <c r="M1895" t="s">
        <v>350</v>
      </c>
      <c r="N1895" t="s">
        <v>2957</v>
      </c>
      <c r="O1895" t="s">
        <v>22</v>
      </c>
    </row>
    <row r="1896" spans="1:15" hidden="1">
      <c r="A1896" t="s">
        <v>15</v>
      </c>
      <c r="B1896" t="str">
        <f>"FES1162689970"</f>
        <v>FES1162689970</v>
      </c>
      <c r="C1896" s="9">
        <v>43600</v>
      </c>
      <c r="D1896">
        <v>1</v>
      </c>
      <c r="E1896">
        <v>2170686871</v>
      </c>
      <c r="F1896" t="s">
        <v>16</v>
      </c>
      <c r="G1896" t="s">
        <v>17</v>
      </c>
      <c r="H1896" t="s">
        <v>32</v>
      </c>
      <c r="I1896" t="s">
        <v>33</v>
      </c>
      <c r="J1896" t="s">
        <v>34</v>
      </c>
      <c r="K1896" s="9">
        <v>43601</v>
      </c>
      <c r="L1896" s="10">
        <v>0.34722222222222227</v>
      </c>
      <c r="M1896" t="s">
        <v>35</v>
      </c>
      <c r="N1896" t="s">
        <v>2958</v>
      </c>
      <c r="O1896" t="s">
        <v>22</v>
      </c>
    </row>
    <row r="1897" spans="1:15" hidden="1">
      <c r="A1897" t="s">
        <v>15</v>
      </c>
      <c r="B1897" t="str">
        <f>"FES1162689940"</f>
        <v>FES1162689940</v>
      </c>
      <c r="C1897" s="9">
        <v>43600</v>
      </c>
      <c r="D1897">
        <v>1</v>
      </c>
      <c r="E1897">
        <v>2170685713</v>
      </c>
      <c r="F1897" t="s">
        <v>16</v>
      </c>
      <c r="G1897" t="s">
        <v>17</v>
      </c>
      <c r="H1897" t="s">
        <v>32</v>
      </c>
      <c r="I1897" t="s">
        <v>1198</v>
      </c>
      <c r="J1897" t="s">
        <v>1199</v>
      </c>
      <c r="K1897" t="s">
        <v>1730</v>
      </c>
      <c r="L1897"/>
      <c r="M1897" t="s">
        <v>1731</v>
      </c>
      <c r="N1897" t="s">
        <v>2959</v>
      </c>
      <c r="O1897" t="s">
        <v>22</v>
      </c>
    </row>
    <row r="1898" spans="1:15">
      <c r="A1898" s="6" t="s">
        <v>15</v>
      </c>
      <c r="B1898" s="6" t="str">
        <f>"FES1162689842"</f>
        <v>FES1162689842</v>
      </c>
      <c r="C1898" s="7">
        <v>43600</v>
      </c>
      <c r="D1898" s="6">
        <v>1</v>
      </c>
      <c r="E1898" s="6">
        <v>2170685709</v>
      </c>
      <c r="F1898" s="6" t="s">
        <v>16</v>
      </c>
      <c r="G1898" s="6" t="s">
        <v>17</v>
      </c>
      <c r="H1898" s="6" t="s">
        <v>17</v>
      </c>
      <c r="I1898" s="6" t="s">
        <v>64</v>
      </c>
      <c r="J1898" s="6" t="s">
        <v>2896</v>
      </c>
      <c r="K1898" s="7">
        <v>43601</v>
      </c>
      <c r="L1898" s="8">
        <v>0.4375</v>
      </c>
      <c r="M1898" s="6" t="s">
        <v>2897</v>
      </c>
      <c r="N1898" s="6" t="s">
        <v>21</v>
      </c>
      <c r="O1898" s="6" t="s">
        <v>22</v>
      </c>
    </row>
    <row r="1899" spans="1:15" hidden="1">
      <c r="A1899" t="s">
        <v>15</v>
      </c>
      <c r="B1899" t="str">
        <f>"FES1162689963"</f>
        <v>FES1162689963</v>
      </c>
      <c r="C1899" s="9">
        <v>43600</v>
      </c>
      <c r="D1899">
        <v>1</v>
      </c>
      <c r="E1899">
        <v>2170686797</v>
      </c>
      <c r="F1899" t="s">
        <v>16</v>
      </c>
      <c r="G1899" t="s">
        <v>17</v>
      </c>
      <c r="H1899" t="s">
        <v>32</v>
      </c>
      <c r="I1899" t="s">
        <v>33</v>
      </c>
      <c r="J1899" t="s">
        <v>357</v>
      </c>
      <c r="K1899" s="9">
        <v>43601</v>
      </c>
      <c r="L1899" s="10">
        <v>0.35555555555555557</v>
      </c>
      <c r="M1899" t="s">
        <v>2960</v>
      </c>
      <c r="N1899" t="s">
        <v>2961</v>
      </c>
      <c r="O1899" t="s">
        <v>22</v>
      </c>
    </row>
    <row r="1900" spans="1:15" hidden="1">
      <c r="A1900" t="s">
        <v>15</v>
      </c>
      <c r="B1900" t="str">
        <f>"FES1162689962"</f>
        <v>FES1162689962</v>
      </c>
      <c r="C1900" s="9">
        <v>43600</v>
      </c>
      <c r="D1900">
        <v>1</v>
      </c>
      <c r="E1900">
        <v>2170686796</v>
      </c>
      <c r="F1900" t="s">
        <v>16</v>
      </c>
      <c r="G1900" t="s">
        <v>17</v>
      </c>
      <c r="H1900" t="s">
        <v>32</v>
      </c>
      <c r="I1900" t="s">
        <v>33</v>
      </c>
      <c r="J1900" t="s">
        <v>357</v>
      </c>
      <c r="K1900" s="9">
        <v>43601</v>
      </c>
      <c r="L1900" s="10">
        <v>0.35555555555555557</v>
      </c>
      <c r="M1900" t="s">
        <v>2960</v>
      </c>
      <c r="N1900" t="s">
        <v>2962</v>
      </c>
      <c r="O1900" t="s">
        <v>22</v>
      </c>
    </row>
    <row r="1901" spans="1:15" hidden="1">
      <c r="A1901" t="s">
        <v>15</v>
      </c>
      <c r="B1901" t="str">
        <f>"FES1162689981"</f>
        <v>FES1162689981</v>
      </c>
      <c r="C1901" s="9">
        <v>43600</v>
      </c>
      <c r="D1901">
        <v>1</v>
      </c>
      <c r="E1901">
        <v>2170687009</v>
      </c>
      <c r="F1901" t="s">
        <v>16</v>
      </c>
      <c r="G1901" t="s">
        <v>17</v>
      </c>
      <c r="H1901" t="s">
        <v>32</v>
      </c>
      <c r="I1901" t="s">
        <v>1207</v>
      </c>
      <c r="J1901" t="s">
        <v>1208</v>
      </c>
      <c r="K1901" s="9">
        <v>43601</v>
      </c>
      <c r="L1901" t="s">
        <v>2963</v>
      </c>
      <c r="M1901" t="s">
        <v>2964</v>
      </c>
      <c r="N1901" t="s">
        <v>2965</v>
      </c>
      <c r="O1901" t="s">
        <v>22</v>
      </c>
    </row>
    <row r="1902" spans="1:15" hidden="1">
      <c r="A1902" t="s">
        <v>15</v>
      </c>
      <c r="B1902" t="str">
        <f>"FES1162689954"</f>
        <v>FES1162689954</v>
      </c>
      <c r="C1902" s="9">
        <v>43600</v>
      </c>
      <c r="D1902">
        <v>1</v>
      </c>
      <c r="E1902">
        <v>2170686501</v>
      </c>
      <c r="F1902" t="s">
        <v>16</v>
      </c>
      <c r="G1902" t="s">
        <v>17</v>
      </c>
      <c r="H1902" t="s">
        <v>43</v>
      </c>
      <c r="I1902" t="s">
        <v>44</v>
      </c>
      <c r="J1902" t="s">
        <v>128</v>
      </c>
      <c r="K1902" s="9">
        <v>43601</v>
      </c>
      <c r="L1902" s="10">
        <v>0.3659722222222222</v>
      </c>
      <c r="M1902" t="s">
        <v>2498</v>
      </c>
      <c r="N1902" t="s">
        <v>2966</v>
      </c>
      <c r="O1902" t="s">
        <v>22</v>
      </c>
    </row>
    <row r="1903" spans="1:15" hidden="1">
      <c r="A1903" t="s">
        <v>15</v>
      </c>
      <c r="B1903" t="str">
        <f>"FES1162689973"</f>
        <v>FES1162689973</v>
      </c>
      <c r="C1903" s="9">
        <v>43600</v>
      </c>
      <c r="D1903">
        <v>1</v>
      </c>
      <c r="E1903">
        <v>2170686907</v>
      </c>
      <c r="F1903" t="s">
        <v>16</v>
      </c>
      <c r="G1903" t="s">
        <v>17</v>
      </c>
      <c r="H1903" t="s">
        <v>43</v>
      </c>
      <c r="I1903" t="s">
        <v>54</v>
      </c>
      <c r="J1903" t="s">
        <v>216</v>
      </c>
      <c r="K1903" s="9">
        <v>43601</v>
      </c>
      <c r="L1903" s="10">
        <v>0.41666666666666669</v>
      </c>
      <c r="M1903" t="s">
        <v>646</v>
      </c>
      <c r="N1903" t="s">
        <v>2967</v>
      </c>
      <c r="O1903" t="s">
        <v>22</v>
      </c>
    </row>
    <row r="1904" spans="1:15" hidden="1">
      <c r="A1904" t="s">
        <v>15</v>
      </c>
      <c r="B1904" t="str">
        <f>"FES1162689939"</f>
        <v>FES1162689939</v>
      </c>
      <c r="C1904" s="9">
        <v>43600</v>
      </c>
      <c r="D1904">
        <v>1</v>
      </c>
      <c r="E1904">
        <v>2170685225</v>
      </c>
      <c r="F1904" t="s">
        <v>16</v>
      </c>
      <c r="G1904" t="s">
        <v>17</v>
      </c>
      <c r="H1904" t="s">
        <v>32</v>
      </c>
      <c r="I1904" t="s">
        <v>269</v>
      </c>
      <c r="J1904" t="s">
        <v>270</v>
      </c>
      <c r="K1904" s="9">
        <v>43601</v>
      </c>
      <c r="L1904" s="10">
        <v>0.34375</v>
      </c>
      <c r="M1904" t="s">
        <v>271</v>
      </c>
      <c r="N1904" t="s">
        <v>2968</v>
      </c>
      <c r="O1904" t="s">
        <v>22</v>
      </c>
    </row>
    <row r="1905" spans="1:15" hidden="1">
      <c r="A1905" t="s">
        <v>15</v>
      </c>
      <c r="B1905" t="str">
        <f>"FES1162689968"</f>
        <v>FES1162689968</v>
      </c>
      <c r="C1905" s="9">
        <v>43600</v>
      </c>
      <c r="D1905">
        <v>1</v>
      </c>
      <c r="E1905">
        <v>2170686855</v>
      </c>
      <c r="F1905" t="s">
        <v>16</v>
      </c>
      <c r="G1905" t="s">
        <v>17</v>
      </c>
      <c r="H1905" t="s">
        <v>32</v>
      </c>
      <c r="I1905" t="s">
        <v>33</v>
      </c>
      <c r="J1905" t="s">
        <v>760</v>
      </c>
      <c r="K1905" s="9">
        <v>43601</v>
      </c>
      <c r="L1905" s="10">
        <v>0.3576388888888889</v>
      </c>
      <c r="M1905" t="s">
        <v>2969</v>
      </c>
      <c r="N1905" t="s">
        <v>2970</v>
      </c>
      <c r="O1905" t="s">
        <v>22</v>
      </c>
    </row>
    <row r="1906" spans="1:15" hidden="1">
      <c r="A1906" t="s">
        <v>15</v>
      </c>
      <c r="B1906" t="str">
        <f>"FES1162689932"</f>
        <v>FES1162689932</v>
      </c>
      <c r="C1906" s="9">
        <v>43600</v>
      </c>
      <c r="D1906">
        <v>1</v>
      </c>
      <c r="E1906">
        <v>2170688416</v>
      </c>
      <c r="F1906" t="s">
        <v>16</v>
      </c>
      <c r="G1906" t="s">
        <v>17</v>
      </c>
      <c r="H1906" t="s">
        <v>37</v>
      </c>
      <c r="I1906" t="s">
        <v>38</v>
      </c>
      <c r="J1906" t="s">
        <v>766</v>
      </c>
      <c r="K1906" s="9">
        <v>43601</v>
      </c>
      <c r="L1906" s="10">
        <v>0.35000000000000003</v>
      </c>
      <c r="M1906" t="s">
        <v>2971</v>
      </c>
      <c r="N1906" t="s">
        <v>2972</v>
      </c>
      <c r="O1906" t="s">
        <v>22</v>
      </c>
    </row>
    <row r="1907" spans="1:15" hidden="1">
      <c r="A1907" t="s">
        <v>15</v>
      </c>
      <c r="B1907" t="str">
        <f>"FES1162689879"</f>
        <v>FES1162689879</v>
      </c>
      <c r="C1907" s="9">
        <v>43600</v>
      </c>
      <c r="D1907">
        <v>1</v>
      </c>
      <c r="E1907">
        <v>2170685048</v>
      </c>
      <c r="F1907" t="s">
        <v>16</v>
      </c>
      <c r="G1907" t="s">
        <v>17</v>
      </c>
      <c r="H1907" t="s">
        <v>32</v>
      </c>
      <c r="I1907" t="s">
        <v>33</v>
      </c>
      <c r="J1907" t="s">
        <v>34</v>
      </c>
      <c r="K1907" s="9">
        <v>43601</v>
      </c>
      <c r="L1907" s="10">
        <v>0.34722222222222227</v>
      </c>
      <c r="M1907" t="s">
        <v>35</v>
      </c>
      <c r="N1907" t="s">
        <v>2973</v>
      </c>
      <c r="O1907" t="s">
        <v>22</v>
      </c>
    </row>
    <row r="1908" spans="1:15" hidden="1">
      <c r="A1908" t="s">
        <v>15</v>
      </c>
      <c r="B1908" t="str">
        <f>"FES1162689896"</f>
        <v>FES1162689896</v>
      </c>
      <c r="C1908" s="9">
        <v>43600</v>
      </c>
      <c r="D1908">
        <v>1</v>
      </c>
      <c r="E1908">
        <v>2170688372</v>
      </c>
      <c r="F1908" t="s">
        <v>16</v>
      </c>
      <c r="G1908" t="s">
        <v>17</v>
      </c>
      <c r="H1908" t="s">
        <v>32</v>
      </c>
      <c r="I1908" t="s">
        <v>33</v>
      </c>
      <c r="J1908" t="s">
        <v>360</v>
      </c>
      <c r="K1908" s="9">
        <v>43601</v>
      </c>
      <c r="L1908" s="10">
        <v>0.3611111111111111</v>
      </c>
      <c r="M1908" t="s">
        <v>361</v>
      </c>
      <c r="N1908" t="s">
        <v>2974</v>
      </c>
      <c r="O1908" t="s">
        <v>22</v>
      </c>
    </row>
    <row r="1909" spans="1:15" hidden="1">
      <c r="A1909" t="s">
        <v>15</v>
      </c>
      <c r="B1909" t="str">
        <f>"FES1162690005"</f>
        <v>FES1162690005</v>
      </c>
      <c r="C1909" s="9">
        <v>43600</v>
      </c>
      <c r="D1909">
        <v>1</v>
      </c>
      <c r="E1909">
        <v>21706888452</v>
      </c>
      <c r="F1909" t="s">
        <v>16</v>
      </c>
      <c r="G1909" t="s">
        <v>17</v>
      </c>
      <c r="H1909" t="s">
        <v>32</v>
      </c>
      <c r="I1909" t="s">
        <v>33</v>
      </c>
      <c r="J1909" t="s">
        <v>365</v>
      </c>
      <c r="K1909" s="9">
        <v>43601</v>
      </c>
      <c r="L1909" s="10">
        <v>0.38194444444444442</v>
      </c>
      <c r="M1909" t="s">
        <v>2444</v>
      </c>
      <c r="N1909" t="s">
        <v>2975</v>
      </c>
      <c r="O1909" t="s">
        <v>22</v>
      </c>
    </row>
    <row r="1910" spans="1:15" hidden="1">
      <c r="A1910" t="s">
        <v>15</v>
      </c>
      <c r="B1910" t="str">
        <f>"FES1162689880"</f>
        <v>FES1162689880</v>
      </c>
      <c r="C1910" s="9">
        <v>43600</v>
      </c>
      <c r="D1910">
        <v>1</v>
      </c>
      <c r="E1910">
        <v>2170685225</v>
      </c>
      <c r="F1910" t="s">
        <v>16</v>
      </c>
      <c r="G1910" t="s">
        <v>17</v>
      </c>
      <c r="H1910" t="s">
        <v>32</v>
      </c>
      <c r="I1910" t="s">
        <v>269</v>
      </c>
      <c r="J1910" t="s">
        <v>270</v>
      </c>
      <c r="K1910" s="9">
        <v>43601</v>
      </c>
      <c r="L1910" s="10">
        <v>0.34375</v>
      </c>
      <c r="M1910" t="s">
        <v>271</v>
      </c>
      <c r="N1910" t="s">
        <v>2976</v>
      </c>
      <c r="O1910" t="s">
        <v>22</v>
      </c>
    </row>
    <row r="1911" spans="1:15" hidden="1">
      <c r="A1911" t="s">
        <v>15</v>
      </c>
      <c r="B1911" t="str">
        <f>"FES1162689918"</f>
        <v>FES1162689918</v>
      </c>
      <c r="C1911" s="9">
        <v>43600</v>
      </c>
      <c r="D1911">
        <v>1</v>
      </c>
      <c r="E1911">
        <v>2170688403</v>
      </c>
      <c r="F1911" t="s">
        <v>16</v>
      </c>
      <c r="G1911" t="s">
        <v>17</v>
      </c>
      <c r="H1911" t="s">
        <v>290</v>
      </c>
      <c r="I1911" t="s">
        <v>309</v>
      </c>
      <c r="J1911" t="s">
        <v>331</v>
      </c>
      <c r="K1911" s="9">
        <v>43601</v>
      </c>
      <c r="L1911" s="10">
        <v>0.37013888888888885</v>
      </c>
      <c r="M1911" t="s">
        <v>332</v>
      </c>
      <c r="N1911" t="s">
        <v>2977</v>
      </c>
      <c r="O1911" t="s">
        <v>22</v>
      </c>
    </row>
    <row r="1912" spans="1:15" hidden="1">
      <c r="A1912" t="s">
        <v>15</v>
      </c>
      <c r="B1912" t="str">
        <f>"FES1162689948"</f>
        <v>FES1162689948</v>
      </c>
      <c r="C1912" s="9">
        <v>43600</v>
      </c>
      <c r="D1912">
        <v>1</v>
      </c>
      <c r="E1912">
        <v>2170686415</v>
      </c>
      <c r="F1912" t="s">
        <v>16</v>
      </c>
      <c r="G1912" t="s">
        <v>17</v>
      </c>
      <c r="H1912" t="s">
        <v>43</v>
      </c>
      <c r="I1912" t="s">
        <v>44</v>
      </c>
      <c r="J1912" t="s">
        <v>48</v>
      </c>
      <c r="K1912" s="9">
        <v>43601</v>
      </c>
      <c r="L1912" s="10">
        <v>0.31111111111111112</v>
      </c>
      <c r="M1912" t="s">
        <v>2978</v>
      </c>
      <c r="N1912" t="s">
        <v>2979</v>
      </c>
      <c r="O1912" t="s">
        <v>22</v>
      </c>
    </row>
    <row r="1913" spans="1:15" hidden="1">
      <c r="A1913" t="s">
        <v>15</v>
      </c>
      <c r="B1913" t="str">
        <f>"FES1162689976"</f>
        <v>FES1162689976</v>
      </c>
      <c r="C1913" s="9">
        <v>43600</v>
      </c>
      <c r="D1913">
        <v>1</v>
      </c>
      <c r="E1913">
        <v>2170686957</v>
      </c>
      <c r="F1913" t="s">
        <v>16</v>
      </c>
      <c r="G1913" t="s">
        <v>17</v>
      </c>
      <c r="H1913" t="s">
        <v>43</v>
      </c>
      <c r="I1913" t="s">
        <v>44</v>
      </c>
      <c r="J1913" t="s">
        <v>256</v>
      </c>
      <c r="K1913" s="9">
        <v>43601</v>
      </c>
      <c r="L1913" s="10">
        <v>0.3840277777777778</v>
      </c>
      <c r="M1913" t="s">
        <v>2980</v>
      </c>
      <c r="N1913" t="s">
        <v>2981</v>
      </c>
      <c r="O1913" t="s">
        <v>22</v>
      </c>
    </row>
    <row r="1914" spans="1:15" hidden="1">
      <c r="A1914" t="s">
        <v>15</v>
      </c>
      <c r="B1914" t="str">
        <f>"FES1162689983"</f>
        <v>FES1162689983</v>
      </c>
      <c r="C1914" s="9">
        <v>43600</v>
      </c>
      <c r="D1914">
        <v>1</v>
      </c>
      <c r="E1914">
        <v>2170688422</v>
      </c>
      <c r="F1914" t="s">
        <v>16</v>
      </c>
      <c r="G1914" t="s">
        <v>17</v>
      </c>
      <c r="H1914" t="s">
        <v>43</v>
      </c>
      <c r="I1914" t="s">
        <v>44</v>
      </c>
      <c r="J1914" t="s">
        <v>2982</v>
      </c>
      <c r="K1914" s="9">
        <v>43601</v>
      </c>
      <c r="L1914" s="10">
        <v>0.36874999999999997</v>
      </c>
      <c r="M1914" t="s">
        <v>2498</v>
      </c>
      <c r="N1914" t="s">
        <v>2983</v>
      </c>
      <c r="O1914" t="s">
        <v>22</v>
      </c>
    </row>
    <row r="1915" spans="1:15">
      <c r="A1915" s="6" t="s">
        <v>15</v>
      </c>
      <c r="B1915" s="6" t="str">
        <f>"FES1162689993"</f>
        <v>FES1162689993</v>
      </c>
      <c r="C1915" s="7">
        <v>43600</v>
      </c>
      <c r="D1915" s="6">
        <v>1</v>
      </c>
      <c r="E1915" s="6">
        <v>2170688434</v>
      </c>
      <c r="F1915" s="6" t="s">
        <v>16</v>
      </c>
      <c r="G1915" s="6" t="s">
        <v>17</v>
      </c>
      <c r="H1915" s="6" t="s">
        <v>17</v>
      </c>
      <c r="I1915" s="6" t="s">
        <v>18</v>
      </c>
      <c r="J1915" s="6" t="s">
        <v>19</v>
      </c>
      <c r="K1915" s="7">
        <v>43601</v>
      </c>
      <c r="L1915" s="8">
        <v>0.4201388888888889</v>
      </c>
      <c r="M1915" s="6" t="s">
        <v>1327</v>
      </c>
      <c r="N1915" s="6" t="s">
        <v>21</v>
      </c>
      <c r="O1915" s="6" t="s">
        <v>22</v>
      </c>
    </row>
    <row r="1916" spans="1:15" hidden="1">
      <c r="A1916" t="s">
        <v>15</v>
      </c>
      <c r="B1916" t="str">
        <f>"FES1162689966"</f>
        <v>FES1162689966</v>
      </c>
      <c r="C1916" s="9">
        <v>43600</v>
      </c>
      <c r="D1916">
        <v>1</v>
      </c>
      <c r="E1916">
        <v>2170686825</v>
      </c>
      <c r="F1916" t="s">
        <v>16</v>
      </c>
      <c r="G1916" t="s">
        <v>17</v>
      </c>
      <c r="H1916" t="s">
        <v>32</v>
      </c>
      <c r="I1916" t="s">
        <v>33</v>
      </c>
      <c r="J1916" t="s">
        <v>357</v>
      </c>
      <c r="K1916" s="9">
        <v>43601</v>
      </c>
      <c r="L1916" s="10">
        <v>0.35555555555555557</v>
      </c>
      <c r="M1916" t="s">
        <v>2960</v>
      </c>
      <c r="N1916" t="s">
        <v>2984</v>
      </c>
      <c r="O1916" t="s">
        <v>22</v>
      </c>
    </row>
    <row r="1917" spans="1:15" hidden="1">
      <c r="A1917" t="s">
        <v>15</v>
      </c>
      <c r="B1917" t="str">
        <f>"FES1162689890"</f>
        <v>FES1162689890</v>
      </c>
      <c r="C1917" s="9">
        <v>43600</v>
      </c>
      <c r="D1917">
        <v>1</v>
      </c>
      <c r="E1917">
        <v>2170687819</v>
      </c>
      <c r="F1917" t="s">
        <v>16</v>
      </c>
      <c r="G1917" t="s">
        <v>17</v>
      </c>
      <c r="H1917" t="s">
        <v>132</v>
      </c>
      <c r="I1917" t="s">
        <v>137</v>
      </c>
      <c r="J1917" t="s">
        <v>138</v>
      </c>
      <c r="K1917" s="9">
        <v>43601</v>
      </c>
      <c r="L1917" s="10">
        <v>0.44791666666666669</v>
      </c>
      <c r="M1917" t="s">
        <v>2542</v>
      </c>
      <c r="N1917" t="s">
        <v>2985</v>
      </c>
      <c r="O1917" t="s">
        <v>22</v>
      </c>
    </row>
    <row r="1918" spans="1:15" hidden="1">
      <c r="A1918" t="s">
        <v>15</v>
      </c>
      <c r="B1918" t="str">
        <f>"FES1162689915"</f>
        <v>FES1162689915</v>
      </c>
      <c r="C1918" s="9">
        <v>43600</v>
      </c>
      <c r="D1918">
        <v>1</v>
      </c>
      <c r="E1918">
        <v>2170688399</v>
      </c>
      <c r="F1918" t="s">
        <v>58</v>
      </c>
      <c r="G1918" t="s">
        <v>59</v>
      </c>
      <c r="H1918" t="s">
        <v>2986</v>
      </c>
      <c r="I1918" t="s">
        <v>291</v>
      </c>
      <c r="J1918" t="s">
        <v>297</v>
      </c>
      <c r="K1918" s="9">
        <v>43601</v>
      </c>
      <c r="L1918" s="10">
        <v>0.40069444444444446</v>
      </c>
      <c r="M1918" t="s">
        <v>298</v>
      </c>
      <c r="N1918" t="s">
        <v>2987</v>
      </c>
      <c r="O1918" t="s">
        <v>22</v>
      </c>
    </row>
    <row r="1919" spans="1:15" hidden="1">
      <c r="A1919" t="s">
        <v>15</v>
      </c>
      <c r="B1919" t="str">
        <f>"FES1162689957"</f>
        <v>FES1162689957</v>
      </c>
      <c r="C1919" s="9">
        <v>43600</v>
      </c>
      <c r="D1919">
        <v>1</v>
      </c>
      <c r="E1919">
        <v>2170686590</v>
      </c>
      <c r="F1919" t="s">
        <v>16</v>
      </c>
      <c r="G1919" t="s">
        <v>17</v>
      </c>
      <c r="H1919" t="s">
        <v>290</v>
      </c>
      <c r="I1919" t="s">
        <v>291</v>
      </c>
      <c r="J1919" t="s">
        <v>297</v>
      </c>
      <c r="K1919" s="9">
        <v>43601</v>
      </c>
      <c r="L1919" s="10">
        <v>0.3263888888888889</v>
      </c>
      <c r="M1919" t="s">
        <v>298</v>
      </c>
      <c r="N1919" t="s">
        <v>2988</v>
      </c>
      <c r="O1919" t="s">
        <v>22</v>
      </c>
    </row>
    <row r="1920" spans="1:15">
      <c r="A1920" s="6" t="s">
        <v>15</v>
      </c>
      <c r="B1920" s="6" t="str">
        <f>"FES1162689956"</f>
        <v>FES1162689956</v>
      </c>
      <c r="C1920" s="7">
        <v>43600</v>
      </c>
      <c r="D1920" s="6">
        <v>1</v>
      </c>
      <c r="E1920" s="6">
        <v>2170686584</v>
      </c>
      <c r="F1920" s="6" t="s">
        <v>16</v>
      </c>
      <c r="G1920" s="6" t="s">
        <v>17</v>
      </c>
      <c r="H1920" s="6" t="s">
        <v>17</v>
      </c>
      <c r="I1920" s="6" t="s">
        <v>720</v>
      </c>
      <c r="J1920" s="6" t="s">
        <v>721</v>
      </c>
      <c r="K1920" s="7">
        <v>43601</v>
      </c>
      <c r="L1920" s="8">
        <v>0.31319444444444444</v>
      </c>
      <c r="M1920" s="6" t="s">
        <v>2989</v>
      </c>
      <c r="N1920" s="6" t="s">
        <v>21</v>
      </c>
      <c r="O1920" s="6" t="s">
        <v>22</v>
      </c>
    </row>
    <row r="1921" spans="1:15" hidden="1">
      <c r="A1921" t="s">
        <v>15</v>
      </c>
      <c r="B1921" t="str">
        <f>"FES1162690007"</f>
        <v>FES1162690007</v>
      </c>
      <c r="C1921" s="9">
        <v>43600</v>
      </c>
      <c r="D1921">
        <v>1</v>
      </c>
      <c r="E1921">
        <v>2170688454</v>
      </c>
      <c r="F1921" t="s">
        <v>16</v>
      </c>
      <c r="G1921" t="s">
        <v>17</v>
      </c>
      <c r="H1921" t="s">
        <v>43</v>
      </c>
      <c r="I1921" t="s">
        <v>44</v>
      </c>
      <c r="J1921" t="s">
        <v>798</v>
      </c>
      <c r="K1921" s="9">
        <v>43601</v>
      </c>
      <c r="L1921" s="10">
        <v>0.41666666666666669</v>
      </c>
      <c r="M1921" t="s">
        <v>799</v>
      </c>
      <c r="N1921" t="s">
        <v>2990</v>
      </c>
      <c r="O1921" t="s">
        <v>22</v>
      </c>
    </row>
    <row r="1922" spans="1:15" hidden="1">
      <c r="A1922" t="s">
        <v>15</v>
      </c>
      <c r="B1922" t="str">
        <f>"FES1162689951"</f>
        <v>FES1162689951</v>
      </c>
      <c r="C1922" s="9">
        <v>43600</v>
      </c>
      <c r="D1922">
        <v>1</v>
      </c>
      <c r="E1922">
        <v>2170686489</v>
      </c>
      <c r="F1922" t="s">
        <v>16</v>
      </c>
      <c r="G1922" t="s">
        <v>17</v>
      </c>
      <c r="H1922" t="s">
        <v>43</v>
      </c>
      <c r="I1922" t="s">
        <v>44</v>
      </c>
      <c r="J1922" t="s">
        <v>128</v>
      </c>
      <c r="K1922" s="9">
        <v>43601</v>
      </c>
      <c r="L1922" s="10">
        <v>0.3659722222222222</v>
      </c>
      <c r="M1922" t="s">
        <v>2498</v>
      </c>
      <c r="N1922" t="s">
        <v>2991</v>
      </c>
      <c r="O1922" t="s">
        <v>22</v>
      </c>
    </row>
    <row r="1923" spans="1:15" hidden="1">
      <c r="A1923" t="s">
        <v>15</v>
      </c>
      <c r="B1923" t="str">
        <f>"FES1162689980"</f>
        <v>FES1162689980</v>
      </c>
      <c r="C1923" s="9">
        <v>43600</v>
      </c>
      <c r="D1923">
        <v>1</v>
      </c>
      <c r="E1923">
        <v>1162689979</v>
      </c>
      <c r="F1923" t="s">
        <v>16</v>
      </c>
      <c r="G1923" t="s">
        <v>17</v>
      </c>
      <c r="H1923" t="s">
        <v>290</v>
      </c>
      <c r="I1923" t="s">
        <v>291</v>
      </c>
      <c r="J1923" t="s">
        <v>1030</v>
      </c>
      <c r="K1923" s="9">
        <v>43601</v>
      </c>
      <c r="L1923" s="10">
        <v>0.33333333333333331</v>
      </c>
      <c r="M1923" t="s">
        <v>2751</v>
      </c>
      <c r="N1923" t="s">
        <v>2992</v>
      </c>
      <c r="O1923" t="s">
        <v>2993</v>
      </c>
    </row>
    <row r="1924" spans="1:15" hidden="1">
      <c r="A1924" t="s">
        <v>15</v>
      </c>
      <c r="B1924" t="str">
        <f>"FES1162689901"</f>
        <v>FES1162689901</v>
      </c>
      <c r="C1924" s="9">
        <v>43600</v>
      </c>
      <c r="D1924">
        <v>1</v>
      </c>
      <c r="E1924">
        <v>2170688381</v>
      </c>
      <c r="F1924" t="s">
        <v>16</v>
      </c>
      <c r="G1924" t="s">
        <v>17</v>
      </c>
      <c r="H1924" t="s">
        <v>132</v>
      </c>
      <c r="I1924" t="s">
        <v>133</v>
      </c>
      <c r="J1924" t="s">
        <v>594</v>
      </c>
      <c r="K1924" s="9">
        <v>43601</v>
      </c>
      <c r="L1924" s="10">
        <v>0.36944444444444446</v>
      </c>
      <c r="M1924" t="s">
        <v>1931</v>
      </c>
      <c r="N1924" t="s">
        <v>2994</v>
      </c>
      <c r="O1924" t="s">
        <v>22</v>
      </c>
    </row>
    <row r="1925" spans="1:15" hidden="1">
      <c r="A1925" t="s">
        <v>15</v>
      </c>
      <c r="B1925" t="str">
        <f>"FES1162684299"</f>
        <v>FES1162684299</v>
      </c>
      <c r="C1925" s="9">
        <v>43600</v>
      </c>
      <c r="D1925">
        <v>1</v>
      </c>
      <c r="E1925">
        <v>2170683736</v>
      </c>
      <c r="F1925" t="s">
        <v>16</v>
      </c>
      <c r="G1925" t="s">
        <v>17</v>
      </c>
      <c r="H1925" t="s">
        <v>141</v>
      </c>
      <c r="I1925" t="s">
        <v>185</v>
      </c>
      <c r="J1925" t="s">
        <v>186</v>
      </c>
      <c r="K1925" s="9">
        <v>43601</v>
      </c>
      <c r="L1925" s="10">
        <v>0.42986111111111108</v>
      </c>
      <c r="M1925" t="s">
        <v>1701</v>
      </c>
      <c r="N1925" t="s">
        <v>2995</v>
      </c>
      <c r="O1925" t="s">
        <v>22</v>
      </c>
    </row>
    <row r="1926" spans="1:15" hidden="1">
      <c r="A1926" t="s">
        <v>15</v>
      </c>
      <c r="B1926" t="str">
        <f>"FES1162689925"</f>
        <v>FES1162689925</v>
      </c>
      <c r="C1926" s="9">
        <v>43600</v>
      </c>
      <c r="D1926">
        <v>2</v>
      </c>
      <c r="E1926">
        <v>2170688410</v>
      </c>
      <c r="F1926" t="s">
        <v>58</v>
      </c>
      <c r="G1926" t="s">
        <v>59</v>
      </c>
      <c r="H1926" t="s">
        <v>2986</v>
      </c>
      <c r="I1926" t="s">
        <v>309</v>
      </c>
      <c r="J1926" t="s">
        <v>328</v>
      </c>
      <c r="K1926" s="9">
        <v>43602</v>
      </c>
      <c r="L1926" s="10">
        <v>0.46180555555555558</v>
      </c>
      <c r="M1926" t="s">
        <v>2996</v>
      </c>
      <c r="N1926" t="s">
        <v>2997</v>
      </c>
      <c r="O1926" t="s">
        <v>22</v>
      </c>
    </row>
    <row r="1927" spans="1:15" hidden="1">
      <c r="A1927" t="s">
        <v>15</v>
      </c>
      <c r="B1927" t="str">
        <f>"FES1162689891"</f>
        <v>FES1162689891</v>
      </c>
      <c r="C1927" s="9">
        <v>43600</v>
      </c>
      <c r="D1927">
        <v>1</v>
      </c>
      <c r="E1927">
        <v>2170688362</v>
      </c>
      <c r="F1927" t="s">
        <v>16</v>
      </c>
      <c r="G1927" t="s">
        <v>17</v>
      </c>
      <c r="H1927" t="s">
        <v>43</v>
      </c>
      <c r="I1927" t="s">
        <v>44</v>
      </c>
      <c r="J1927" t="s">
        <v>51</v>
      </c>
      <c r="K1927" s="9">
        <v>43602</v>
      </c>
      <c r="L1927" s="10">
        <v>0.33194444444444443</v>
      </c>
      <c r="M1927" t="s">
        <v>2998</v>
      </c>
      <c r="N1927" t="s">
        <v>2999</v>
      </c>
      <c r="O1927" t="s">
        <v>22</v>
      </c>
    </row>
    <row r="1928" spans="1:15" hidden="1">
      <c r="A1928" t="s">
        <v>15</v>
      </c>
      <c r="B1928" t="str">
        <f>"FES1162689974"</f>
        <v>FES1162689974</v>
      </c>
      <c r="C1928" s="9">
        <v>43600</v>
      </c>
      <c r="D1928">
        <v>1</v>
      </c>
      <c r="E1928">
        <v>2170686918</v>
      </c>
      <c r="F1928" t="s">
        <v>16</v>
      </c>
      <c r="G1928" t="s">
        <v>17</v>
      </c>
      <c r="H1928" t="s">
        <v>43</v>
      </c>
      <c r="I1928" t="s">
        <v>738</v>
      </c>
      <c r="J1928" t="s">
        <v>942</v>
      </c>
      <c r="K1928" s="9">
        <v>43601</v>
      </c>
      <c r="L1928" s="10">
        <v>0.41666666666666669</v>
      </c>
      <c r="M1928" t="s">
        <v>3000</v>
      </c>
      <c r="N1928" t="s">
        <v>3001</v>
      </c>
      <c r="O1928" t="s">
        <v>22</v>
      </c>
    </row>
    <row r="1929" spans="1:15" hidden="1">
      <c r="A1929" t="s">
        <v>15</v>
      </c>
      <c r="B1929" t="str">
        <f>"FES1162689996"</f>
        <v>FES1162689996</v>
      </c>
      <c r="C1929" s="9">
        <v>43600</v>
      </c>
      <c r="D1929">
        <v>1</v>
      </c>
      <c r="E1929">
        <v>2170681846</v>
      </c>
      <c r="F1929" t="s">
        <v>16</v>
      </c>
      <c r="G1929" t="s">
        <v>17</v>
      </c>
      <c r="H1929" t="s">
        <v>43</v>
      </c>
      <c r="I1929" t="s">
        <v>44</v>
      </c>
      <c r="J1929" t="s">
        <v>3002</v>
      </c>
      <c r="K1929" s="9">
        <v>43601</v>
      </c>
      <c r="L1929" s="10">
        <v>0.41666666666666669</v>
      </c>
      <c r="M1929" t="s">
        <v>481</v>
      </c>
      <c r="N1929" t="s">
        <v>3003</v>
      </c>
      <c r="O1929" t="s">
        <v>22</v>
      </c>
    </row>
    <row r="1930" spans="1:15" hidden="1">
      <c r="A1930" t="s">
        <v>15</v>
      </c>
      <c r="B1930" t="str">
        <f>"FES1162689885"</f>
        <v>FES1162689885</v>
      </c>
      <c r="C1930" s="9">
        <v>43600</v>
      </c>
      <c r="D1930">
        <v>1</v>
      </c>
      <c r="E1930">
        <v>2170686431</v>
      </c>
      <c r="F1930" t="s">
        <v>16</v>
      </c>
      <c r="G1930" t="s">
        <v>17</v>
      </c>
      <c r="H1930" t="s">
        <v>141</v>
      </c>
      <c r="I1930" t="s">
        <v>142</v>
      </c>
      <c r="J1930" t="s">
        <v>1380</v>
      </c>
      <c r="K1930" s="9">
        <v>43601</v>
      </c>
      <c r="L1930" s="10">
        <v>0.44930555555555557</v>
      </c>
      <c r="M1930" t="s">
        <v>3004</v>
      </c>
      <c r="N1930" t="s">
        <v>3005</v>
      </c>
      <c r="O1930" t="s">
        <v>22</v>
      </c>
    </row>
    <row r="1931" spans="1:15">
      <c r="A1931" s="6" t="s">
        <v>15</v>
      </c>
      <c r="B1931" s="6" t="str">
        <f>"FES1162689907"</f>
        <v>FES1162689907</v>
      </c>
      <c r="C1931" s="7">
        <v>43600</v>
      </c>
      <c r="D1931" s="6">
        <v>1</v>
      </c>
      <c r="E1931" s="6">
        <v>2170688390</v>
      </c>
      <c r="F1931" s="6" t="s">
        <v>16</v>
      </c>
      <c r="G1931" s="6" t="s">
        <v>17</v>
      </c>
      <c r="H1931" s="6" t="s">
        <v>17</v>
      </c>
      <c r="I1931" s="6" t="s">
        <v>64</v>
      </c>
      <c r="J1931" s="6" t="s">
        <v>1626</v>
      </c>
      <c r="K1931" s="7">
        <v>43601</v>
      </c>
      <c r="L1931" s="8">
        <v>0.41180555555555554</v>
      </c>
      <c r="M1931" s="6" t="s">
        <v>2659</v>
      </c>
      <c r="N1931" s="6" t="s">
        <v>21</v>
      </c>
      <c r="O1931" s="6" t="s">
        <v>22</v>
      </c>
    </row>
    <row r="1932" spans="1:15" hidden="1">
      <c r="A1932" t="s">
        <v>15</v>
      </c>
      <c r="B1932" t="str">
        <f>"FES1162689881"</f>
        <v>FES1162689881</v>
      </c>
      <c r="C1932" s="9">
        <v>43600</v>
      </c>
      <c r="D1932">
        <v>1</v>
      </c>
      <c r="E1932">
        <v>2170685937</v>
      </c>
      <c r="F1932" t="s">
        <v>16</v>
      </c>
      <c r="G1932" t="s">
        <v>17</v>
      </c>
      <c r="H1932" t="s">
        <v>290</v>
      </c>
      <c r="I1932" t="s">
        <v>291</v>
      </c>
      <c r="J1932" t="s">
        <v>294</v>
      </c>
      <c r="K1932" s="9">
        <v>43601</v>
      </c>
      <c r="L1932" s="10">
        <v>0.33333333333333331</v>
      </c>
      <c r="M1932" t="s">
        <v>769</v>
      </c>
      <c r="N1932" t="s">
        <v>3006</v>
      </c>
      <c r="O1932" t="s">
        <v>22</v>
      </c>
    </row>
    <row r="1933" spans="1:15" hidden="1">
      <c r="A1933" t="s">
        <v>15</v>
      </c>
      <c r="B1933" t="str">
        <f>"FES1162689883"</f>
        <v>FES1162689883</v>
      </c>
      <c r="C1933" s="9">
        <v>43600</v>
      </c>
      <c r="D1933">
        <v>1</v>
      </c>
      <c r="E1933">
        <v>2170686379</v>
      </c>
      <c r="F1933" t="s">
        <v>16</v>
      </c>
      <c r="G1933" t="s">
        <v>17</v>
      </c>
      <c r="H1933" t="s">
        <v>141</v>
      </c>
      <c r="I1933" t="s">
        <v>898</v>
      </c>
      <c r="J1933" t="s">
        <v>899</v>
      </c>
      <c r="K1933" s="9">
        <v>43601</v>
      </c>
      <c r="L1933" s="10">
        <v>0.47916666666666669</v>
      </c>
      <c r="M1933" t="s">
        <v>900</v>
      </c>
      <c r="N1933" t="s">
        <v>3007</v>
      </c>
      <c r="O1933" t="s">
        <v>22</v>
      </c>
    </row>
    <row r="1934" spans="1:15" hidden="1">
      <c r="A1934" t="s">
        <v>15</v>
      </c>
      <c r="B1934" t="str">
        <f>"FES1162689967"</f>
        <v>FES1162689967</v>
      </c>
      <c r="C1934" s="9">
        <v>43600</v>
      </c>
      <c r="D1934">
        <v>1</v>
      </c>
      <c r="E1934">
        <v>2170686834</v>
      </c>
      <c r="F1934" t="s">
        <v>16</v>
      </c>
      <c r="G1934" t="s">
        <v>17</v>
      </c>
      <c r="H1934" t="s">
        <v>32</v>
      </c>
      <c r="I1934" t="s">
        <v>33</v>
      </c>
      <c r="J1934" t="s">
        <v>786</v>
      </c>
      <c r="K1934" s="9">
        <v>43601</v>
      </c>
      <c r="L1934" s="10">
        <v>0.40972222222222227</v>
      </c>
      <c r="M1934" t="s">
        <v>3008</v>
      </c>
      <c r="N1934" t="s">
        <v>3009</v>
      </c>
      <c r="O1934" t="s">
        <v>22</v>
      </c>
    </row>
    <row r="1935" spans="1:15" hidden="1">
      <c r="A1935" t="s">
        <v>15</v>
      </c>
      <c r="B1935" t="str">
        <f>"FES1162689914"</f>
        <v>FES1162689914</v>
      </c>
      <c r="C1935" s="9">
        <v>43600</v>
      </c>
      <c r="D1935">
        <v>1</v>
      </c>
      <c r="E1935">
        <v>2170688395</v>
      </c>
      <c r="F1935" t="s">
        <v>16</v>
      </c>
      <c r="G1935" t="s">
        <v>17</v>
      </c>
      <c r="H1935" t="s">
        <v>300</v>
      </c>
      <c r="I1935" t="s">
        <v>1553</v>
      </c>
      <c r="J1935" t="s">
        <v>1554</v>
      </c>
      <c r="K1935" s="9">
        <v>43601</v>
      </c>
      <c r="L1935" s="10">
        <v>0.375</v>
      </c>
      <c r="M1935" t="s">
        <v>3010</v>
      </c>
      <c r="N1935" t="s">
        <v>3011</v>
      </c>
      <c r="O1935" t="s">
        <v>22</v>
      </c>
    </row>
    <row r="1936" spans="1:15" hidden="1">
      <c r="A1936" t="s">
        <v>15</v>
      </c>
      <c r="B1936" t="str">
        <f>"FES1162689947"</f>
        <v>FES1162689947</v>
      </c>
      <c r="C1936" s="9">
        <v>43600</v>
      </c>
      <c r="D1936">
        <v>1</v>
      </c>
      <c r="E1936">
        <v>2170686387</v>
      </c>
      <c r="F1936" t="s">
        <v>16</v>
      </c>
      <c r="G1936" t="s">
        <v>17</v>
      </c>
      <c r="H1936" t="s">
        <v>290</v>
      </c>
      <c r="I1936" t="s">
        <v>309</v>
      </c>
      <c r="J1936" t="s">
        <v>310</v>
      </c>
      <c r="K1936" s="9">
        <v>43601</v>
      </c>
      <c r="L1936" s="10">
        <v>0.37152777777777773</v>
      </c>
      <c r="M1936" t="s">
        <v>311</v>
      </c>
      <c r="N1936" t="s">
        <v>3012</v>
      </c>
      <c r="O1936" t="s">
        <v>22</v>
      </c>
    </row>
    <row r="1937" spans="1:15" hidden="1">
      <c r="A1937" t="s">
        <v>15</v>
      </c>
      <c r="B1937" t="str">
        <f>"FES1162689958"</f>
        <v>FES1162689958</v>
      </c>
      <c r="C1937" s="9">
        <v>43600</v>
      </c>
      <c r="D1937">
        <v>1</v>
      </c>
      <c r="E1937">
        <v>2170686604</v>
      </c>
      <c r="F1937" t="s">
        <v>16</v>
      </c>
      <c r="G1937" t="s">
        <v>17</v>
      </c>
      <c r="H1937" t="s">
        <v>290</v>
      </c>
      <c r="I1937" t="s">
        <v>309</v>
      </c>
      <c r="J1937" t="s">
        <v>717</v>
      </c>
      <c r="K1937" s="9">
        <v>43601</v>
      </c>
      <c r="L1937" s="10">
        <v>0.40625</v>
      </c>
      <c r="M1937" t="s">
        <v>3013</v>
      </c>
      <c r="N1937" t="s">
        <v>3014</v>
      </c>
      <c r="O1937" t="s">
        <v>22</v>
      </c>
    </row>
    <row r="1938" spans="1:15" hidden="1">
      <c r="A1938" t="s">
        <v>15</v>
      </c>
      <c r="B1938" t="str">
        <f>"FES1162689931"</f>
        <v>FES1162689931</v>
      </c>
      <c r="C1938" s="9">
        <v>43600</v>
      </c>
      <c r="D1938">
        <v>1</v>
      </c>
      <c r="E1938">
        <v>2170688415</v>
      </c>
      <c r="F1938" t="s">
        <v>16</v>
      </c>
      <c r="G1938" t="s">
        <v>17</v>
      </c>
      <c r="H1938" t="s">
        <v>290</v>
      </c>
      <c r="I1938" t="s">
        <v>291</v>
      </c>
      <c r="J1938" t="s">
        <v>3015</v>
      </c>
      <c r="K1938" s="9">
        <v>43601</v>
      </c>
      <c r="L1938" s="10">
        <v>0.5</v>
      </c>
      <c r="M1938" t="s">
        <v>3016</v>
      </c>
      <c r="N1938" t="s">
        <v>3017</v>
      </c>
      <c r="O1938" t="s">
        <v>22</v>
      </c>
    </row>
    <row r="1939" spans="1:15">
      <c r="A1939" s="6" t="s">
        <v>15</v>
      </c>
      <c r="B1939" s="6" t="str">
        <f>"FES1162689878"</f>
        <v>FES1162689878</v>
      </c>
      <c r="C1939" s="7">
        <v>43600</v>
      </c>
      <c r="D1939" s="6">
        <v>1</v>
      </c>
      <c r="E1939" s="6">
        <v>2170684681</v>
      </c>
      <c r="F1939" s="6" t="s">
        <v>16</v>
      </c>
      <c r="G1939" s="6" t="s">
        <v>17</v>
      </c>
      <c r="H1939" s="6" t="s">
        <v>17</v>
      </c>
      <c r="I1939" s="6" t="s">
        <v>64</v>
      </c>
      <c r="J1939" s="6" t="s">
        <v>2681</v>
      </c>
      <c r="K1939" s="7">
        <v>43601</v>
      </c>
      <c r="L1939" s="8">
        <v>0.375</v>
      </c>
      <c r="M1939" s="6" t="s">
        <v>1200</v>
      </c>
      <c r="N1939" s="6" t="s">
        <v>21</v>
      </c>
      <c r="O1939" s="6" t="s">
        <v>22</v>
      </c>
    </row>
    <row r="1940" spans="1:15" hidden="1">
      <c r="A1940" t="s">
        <v>15</v>
      </c>
      <c r="B1940" t="str">
        <f>"FES1162689884"</f>
        <v>FES1162689884</v>
      </c>
      <c r="C1940" s="9">
        <v>43600</v>
      </c>
      <c r="D1940">
        <v>1</v>
      </c>
      <c r="E1940">
        <v>2170686399</v>
      </c>
      <c r="F1940" t="s">
        <v>16</v>
      </c>
      <c r="G1940" t="s">
        <v>17</v>
      </c>
      <c r="H1940" t="s">
        <v>141</v>
      </c>
      <c r="I1940" t="s">
        <v>142</v>
      </c>
      <c r="J1940" t="s">
        <v>213</v>
      </c>
      <c r="K1940" s="9">
        <v>43601</v>
      </c>
      <c r="L1940" s="10">
        <v>0.36458333333333331</v>
      </c>
      <c r="M1940" t="s">
        <v>214</v>
      </c>
      <c r="N1940" t="s">
        <v>3018</v>
      </c>
      <c r="O1940" t="s">
        <v>22</v>
      </c>
    </row>
    <row r="1941" spans="1:15">
      <c r="A1941" s="17" t="s">
        <v>15</v>
      </c>
      <c r="B1941" s="17" t="str">
        <f>"009935723239"</f>
        <v>009935723239</v>
      </c>
      <c r="C1941" s="18">
        <v>43600</v>
      </c>
      <c r="D1941" s="17">
        <v>1</v>
      </c>
      <c r="E1941" s="17">
        <v>2170680726</v>
      </c>
      <c r="F1941" s="17" t="s">
        <v>16</v>
      </c>
      <c r="G1941" s="17" t="s">
        <v>17</v>
      </c>
      <c r="H1941" s="17" t="s">
        <v>17</v>
      </c>
      <c r="I1941" s="17" t="s">
        <v>18</v>
      </c>
      <c r="J1941" s="17" t="s">
        <v>3019</v>
      </c>
      <c r="K1941" s="18">
        <v>43601</v>
      </c>
      <c r="L1941" s="19">
        <v>0.36458333333333331</v>
      </c>
      <c r="M1941" s="17" t="s">
        <v>3020</v>
      </c>
      <c r="N1941" s="17" t="s">
        <v>21</v>
      </c>
      <c r="O1941" s="17" t="s">
        <v>3021</v>
      </c>
    </row>
    <row r="1942" spans="1:15" hidden="1">
      <c r="A1942" t="s">
        <v>15</v>
      </c>
      <c r="B1942" t="str">
        <f>"FES1162690065"</f>
        <v>FES1162690065</v>
      </c>
      <c r="C1942" s="9">
        <v>43600</v>
      </c>
      <c r="D1942">
        <v>1</v>
      </c>
      <c r="E1942">
        <v>2170677672</v>
      </c>
      <c r="F1942" t="s">
        <v>16</v>
      </c>
      <c r="G1942" t="s">
        <v>17</v>
      </c>
      <c r="H1942" t="s">
        <v>32</v>
      </c>
      <c r="I1942" t="s">
        <v>33</v>
      </c>
      <c r="J1942" t="s">
        <v>34</v>
      </c>
      <c r="K1942" s="9">
        <v>43601</v>
      </c>
      <c r="L1942" s="10">
        <v>0.34722222222222227</v>
      </c>
      <c r="M1942" t="s">
        <v>3022</v>
      </c>
      <c r="N1942" t="s">
        <v>3023</v>
      </c>
      <c r="O1942" t="s">
        <v>22</v>
      </c>
    </row>
    <row r="1943" spans="1:15">
      <c r="A1943" s="6" t="s">
        <v>15</v>
      </c>
      <c r="B1943" s="6" t="str">
        <f>"FES1162690013"</f>
        <v>FES1162690013</v>
      </c>
      <c r="C1943" s="7">
        <v>43600</v>
      </c>
      <c r="D1943" s="6">
        <v>1</v>
      </c>
      <c r="E1943" s="6">
        <v>2170688463</v>
      </c>
      <c r="F1943" s="6" t="s">
        <v>16</v>
      </c>
      <c r="G1943" s="6" t="s">
        <v>17</v>
      </c>
      <c r="H1943" s="6" t="s">
        <v>17</v>
      </c>
      <c r="I1943" s="6" t="s">
        <v>18</v>
      </c>
      <c r="J1943" s="6" t="s">
        <v>19</v>
      </c>
      <c r="K1943" s="7">
        <v>43601</v>
      </c>
      <c r="L1943" s="8">
        <v>0.4201388888888889</v>
      </c>
      <c r="M1943" s="6" t="s">
        <v>1327</v>
      </c>
      <c r="N1943" s="6" t="s">
        <v>21</v>
      </c>
      <c r="O1943" s="6" t="s">
        <v>22</v>
      </c>
    </row>
    <row r="1944" spans="1:15">
      <c r="A1944" s="6" t="s">
        <v>15</v>
      </c>
      <c r="B1944" s="6" t="str">
        <f>"FES1162689969"</f>
        <v>FES1162689969</v>
      </c>
      <c r="C1944" s="7">
        <v>43600</v>
      </c>
      <c r="D1944" s="6">
        <v>1</v>
      </c>
      <c r="E1944" s="6">
        <v>2170686858</v>
      </c>
      <c r="F1944" s="6" t="s">
        <v>16</v>
      </c>
      <c r="G1944" s="6" t="s">
        <v>17</v>
      </c>
      <c r="H1944" s="6" t="s">
        <v>17</v>
      </c>
      <c r="I1944" s="6" t="s">
        <v>23</v>
      </c>
      <c r="J1944" s="6" t="s">
        <v>70</v>
      </c>
      <c r="K1944" s="7">
        <v>43601</v>
      </c>
      <c r="L1944" s="8">
        <v>0.29722222222222222</v>
      </c>
      <c r="M1944" s="6" t="s">
        <v>2079</v>
      </c>
      <c r="N1944" s="6" t="s">
        <v>21</v>
      </c>
      <c r="O1944" s="6" t="s">
        <v>22</v>
      </c>
    </row>
    <row r="1945" spans="1:15">
      <c r="A1945" s="6" t="s">
        <v>15</v>
      </c>
      <c r="B1945" s="6" t="str">
        <f>"FES1162690050"</f>
        <v>FES1162690050</v>
      </c>
      <c r="C1945" s="7">
        <v>43600</v>
      </c>
      <c r="D1945" s="6">
        <v>1</v>
      </c>
      <c r="E1945" s="6">
        <v>2170688484</v>
      </c>
      <c r="F1945" s="6" t="s">
        <v>16</v>
      </c>
      <c r="G1945" s="6" t="s">
        <v>17</v>
      </c>
      <c r="H1945" s="6" t="s">
        <v>17</v>
      </c>
      <c r="I1945" s="6" t="s">
        <v>67</v>
      </c>
      <c r="J1945" s="6" t="s">
        <v>1692</v>
      </c>
      <c r="K1945" s="7">
        <v>43601</v>
      </c>
      <c r="L1945" s="8">
        <v>0.33333333333333331</v>
      </c>
      <c r="M1945" s="6" t="s">
        <v>100</v>
      </c>
      <c r="N1945" s="6" t="s">
        <v>21</v>
      </c>
      <c r="O1945" s="6" t="s">
        <v>22</v>
      </c>
    </row>
    <row r="1946" spans="1:15">
      <c r="A1946" s="6" t="s">
        <v>15</v>
      </c>
      <c r="B1946" s="6" t="str">
        <f>"FES1162690000"</f>
        <v>FES1162690000</v>
      </c>
      <c r="C1946" s="7">
        <v>43600</v>
      </c>
      <c r="D1946" s="6">
        <v>1</v>
      </c>
      <c r="E1946" s="6">
        <v>2170688445</v>
      </c>
      <c r="F1946" s="6" t="s">
        <v>16</v>
      </c>
      <c r="G1946" s="6" t="s">
        <v>17</v>
      </c>
      <c r="H1946" s="6" t="s">
        <v>17</v>
      </c>
      <c r="I1946" s="6" t="s">
        <v>64</v>
      </c>
      <c r="J1946" s="6" t="s">
        <v>1434</v>
      </c>
      <c r="K1946" s="7">
        <v>43601</v>
      </c>
      <c r="L1946" s="8">
        <v>0.50138888888888888</v>
      </c>
      <c r="M1946" s="6" t="s">
        <v>56</v>
      </c>
      <c r="N1946" s="6" t="s">
        <v>21</v>
      </c>
      <c r="O1946" s="6" t="s">
        <v>494</v>
      </c>
    </row>
    <row r="1947" spans="1:15">
      <c r="A1947" s="6" t="s">
        <v>15</v>
      </c>
      <c r="B1947" s="6" t="str">
        <f>"FES1162690070"</f>
        <v>FES1162690070</v>
      </c>
      <c r="C1947" s="7">
        <v>43600</v>
      </c>
      <c r="D1947" s="6">
        <v>1</v>
      </c>
      <c r="E1947" s="6">
        <v>2170688516</v>
      </c>
      <c r="F1947" s="6" t="s">
        <v>16</v>
      </c>
      <c r="G1947" s="6" t="s">
        <v>17</v>
      </c>
      <c r="H1947" s="6" t="s">
        <v>17</v>
      </c>
      <c r="I1947" s="6" t="s">
        <v>1984</v>
      </c>
      <c r="J1947" s="6" t="s">
        <v>3024</v>
      </c>
      <c r="K1947" s="7">
        <v>43601</v>
      </c>
      <c r="L1947" s="8">
        <v>0.40208333333333335</v>
      </c>
      <c r="M1947" s="6" t="s">
        <v>3025</v>
      </c>
      <c r="N1947" s="6" t="s">
        <v>21</v>
      </c>
      <c r="O1947" s="6" t="s">
        <v>22</v>
      </c>
    </row>
    <row r="1948" spans="1:15" hidden="1">
      <c r="A1948" s="6" t="s">
        <v>15</v>
      </c>
      <c r="B1948" s="6" t="str">
        <f>"FES1162689902"</f>
        <v>FES1162689902</v>
      </c>
      <c r="C1948" s="7">
        <v>43600</v>
      </c>
      <c r="D1948" s="6">
        <v>1</v>
      </c>
      <c r="E1948" s="6">
        <v>2170688383</v>
      </c>
      <c r="F1948" s="6" t="s">
        <v>16</v>
      </c>
      <c r="G1948" s="6" t="s">
        <v>17</v>
      </c>
      <c r="H1948" s="6" t="s">
        <v>59</v>
      </c>
      <c r="I1948" s="6" t="s">
        <v>414</v>
      </c>
      <c r="J1948" s="6" t="s">
        <v>609</v>
      </c>
      <c r="K1948" s="7">
        <v>43602</v>
      </c>
      <c r="L1948" s="8">
        <v>0.33333333333333331</v>
      </c>
      <c r="M1948" s="6" t="s">
        <v>2373</v>
      </c>
      <c r="N1948" s="6" t="s">
        <v>21</v>
      </c>
      <c r="O1948" s="6" t="s">
        <v>22</v>
      </c>
    </row>
    <row r="1949" spans="1:15">
      <c r="A1949" s="6" t="s">
        <v>15</v>
      </c>
      <c r="B1949" s="6" t="str">
        <f>"FES1162690014"</f>
        <v>FES1162690014</v>
      </c>
      <c r="C1949" s="7">
        <v>43600</v>
      </c>
      <c r="D1949" s="6">
        <v>1</v>
      </c>
      <c r="E1949" s="6">
        <v>2170688470</v>
      </c>
      <c r="F1949" s="6" t="s">
        <v>16</v>
      </c>
      <c r="G1949" s="6" t="s">
        <v>17</v>
      </c>
      <c r="H1949" s="6" t="s">
        <v>17</v>
      </c>
      <c r="I1949" s="6" t="s">
        <v>103</v>
      </c>
      <c r="J1949" s="6" t="s">
        <v>3026</v>
      </c>
      <c r="K1949" s="7">
        <v>43601</v>
      </c>
      <c r="L1949" s="8">
        <v>0.5</v>
      </c>
      <c r="M1949" s="6" t="s">
        <v>3027</v>
      </c>
      <c r="N1949" s="6" t="s">
        <v>21</v>
      </c>
      <c r="O1949" s="6" t="s">
        <v>22</v>
      </c>
    </row>
    <row r="1950" spans="1:15">
      <c r="A1950" s="6" t="s">
        <v>15</v>
      </c>
      <c r="B1950" s="6" t="str">
        <f>"FES1162689899"</f>
        <v>FES1162689899</v>
      </c>
      <c r="C1950" s="7">
        <v>43600</v>
      </c>
      <c r="D1950" s="6">
        <v>1</v>
      </c>
      <c r="E1950" s="6">
        <v>2170683378</v>
      </c>
      <c r="F1950" s="6" t="s">
        <v>16</v>
      </c>
      <c r="G1950" s="6" t="s">
        <v>17</v>
      </c>
      <c r="H1950" s="6" t="s">
        <v>17</v>
      </c>
      <c r="I1950" s="6" t="s">
        <v>18</v>
      </c>
      <c r="J1950" s="6" t="s">
        <v>3028</v>
      </c>
      <c r="K1950" s="7">
        <v>43606</v>
      </c>
      <c r="L1950" s="8">
        <v>0.34930555555555554</v>
      </c>
      <c r="M1950" s="6" t="s">
        <v>3029</v>
      </c>
      <c r="N1950" s="6" t="s">
        <v>21</v>
      </c>
      <c r="O1950" s="6" t="s">
        <v>22</v>
      </c>
    </row>
    <row r="1951" spans="1:15" hidden="1">
      <c r="A1951" t="s">
        <v>15</v>
      </c>
      <c r="B1951" t="str">
        <f>"FES1162689894"</f>
        <v>FES1162689894</v>
      </c>
      <c r="C1951" s="9">
        <v>43600</v>
      </c>
      <c r="D1951">
        <v>1</v>
      </c>
      <c r="E1951">
        <v>2170688367</v>
      </c>
      <c r="F1951" t="s">
        <v>16</v>
      </c>
      <c r="G1951" t="s">
        <v>17</v>
      </c>
      <c r="H1951" t="s">
        <v>290</v>
      </c>
      <c r="I1951" t="s">
        <v>291</v>
      </c>
      <c r="J1951" t="s">
        <v>313</v>
      </c>
      <c r="K1951" s="9">
        <v>43601</v>
      </c>
      <c r="L1951" s="10">
        <v>0.37152777777777773</v>
      </c>
      <c r="M1951" t="s">
        <v>3030</v>
      </c>
      <c r="N1951" t="s">
        <v>3031</v>
      </c>
      <c r="O1951" t="s">
        <v>22</v>
      </c>
    </row>
    <row r="1952" spans="1:15">
      <c r="A1952" s="6" t="s">
        <v>15</v>
      </c>
      <c r="B1952" s="6" t="str">
        <f>"FES1162689977"</f>
        <v>FES1162689977</v>
      </c>
      <c r="C1952" s="7">
        <v>43600</v>
      </c>
      <c r="D1952" s="6">
        <v>1</v>
      </c>
      <c r="E1952" s="6">
        <v>2170686958</v>
      </c>
      <c r="F1952" s="6" t="s">
        <v>16</v>
      </c>
      <c r="G1952" s="6" t="s">
        <v>17</v>
      </c>
      <c r="H1952" s="6" t="s">
        <v>17</v>
      </c>
      <c r="I1952" s="6" t="s">
        <v>29</v>
      </c>
      <c r="J1952" s="6" t="s">
        <v>912</v>
      </c>
      <c r="K1952" s="7">
        <v>43601</v>
      </c>
      <c r="L1952" s="8">
        <v>0.43055555555555558</v>
      </c>
      <c r="M1952" s="6" t="s">
        <v>481</v>
      </c>
      <c r="N1952" s="6" t="s">
        <v>21</v>
      </c>
      <c r="O1952" s="6" t="s">
        <v>22</v>
      </c>
    </row>
    <row r="1953" spans="1:15">
      <c r="A1953" s="6" t="s">
        <v>15</v>
      </c>
      <c r="B1953" s="6" t="str">
        <f>"FES1162689989"</f>
        <v>FES1162689989</v>
      </c>
      <c r="C1953" s="7">
        <v>43600</v>
      </c>
      <c r="D1953" s="6">
        <v>1</v>
      </c>
      <c r="E1953" s="6">
        <v>2170688430</v>
      </c>
      <c r="F1953" s="6" t="s">
        <v>16</v>
      </c>
      <c r="G1953" s="6" t="s">
        <v>17</v>
      </c>
      <c r="H1953" s="6" t="s">
        <v>17</v>
      </c>
      <c r="I1953" s="6" t="s">
        <v>64</v>
      </c>
      <c r="J1953" s="6" t="s">
        <v>2301</v>
      </c>
      <c r="K1953" s="7">
        <v>43601</v>
      </c>
      <c r="L1953" s="8">
        <v>0.33333333333333331</v>
      </c>
      <c r="M1953" s="6" t="s">
        <v>3032</v>
      </c>
      <c r="N1953" s="6" t="s">
        <v>21</v>
      </c>
      <c r="O1953" s="6" t="s">
        <v>22</v>
      </c>
    </row>
    <row r="1954" spans="1:15">
      <c r="A1954" s="6" t="s">
        <v>15</v>
      </c>
      <c r="B1954" s="6" t="str">
        <f>"FES1162689943"</f>
        <v>FES1162689943</v>
      </c>
      <c r="C1954" s="7">
        <v>43600</v>
      </c>
      <c r="D1954" s="6">
        <v>1</v>
      </c>
      <c r="E1954" s="6">
        <v>2170686131</v>
      </c>
      <c r="F1954" s="6" t="s">
        <v>16</v>
      </c>
      <c r="G1954" s="6" t="s">
        <v>17</v>
      </c>
      <c r="H1954" s="6" t="s">
        <v>17</v>
      </c>
      <c r="I1954" s="6" t="s">
        <v>613</v>
      </c>
      <c r="J1954" s="6" t="s">
        <v>614</v>
      </c>
      <c r="K1954" s="7">
        <v>43601</v>
      </c>
      <c r="L1954" s="8">
        <v>0.3430555555555555</v>
      </c>
      <c r="M1954" s="6" t="s">
        <v>2014</v>
      </c>
      <c r="N1954" s="6" t="s">
        <v>21</v>
      </c>
      <c r="O1954" s="6" t="s">
        <v>22</v>
      </c>
    </row>
    <row r="1955" spans="1:15">
      <c r="A1955" s="6" t="s">
        <v>15</v>
      </c>
      <c r="B1955" s="6" t="str">
        <f>"FES1162689910"</f>
        <v>FES1162689910</v>
      </c>
      <c r="C1955" s="7">
        <v>43600</v>
      </c>
      <c r="D1955" s="6">
        <v>1</v>
      </c>
      <c r="E1955" s="6">
        <v>2170688394</v>
      </c>
      <c r="F1955" s="6" t="s">
        <v>16</v>
      </c>
      <c r="G1955" s="6" t="s">
        <v>17</v>
      </c>
      <c r="H1955" s="6" t="s">
        <v>17</v>
      </c>
      <c r="I1955" s="6" t="s">
        <v>23</v>
      </c>
      <c r="J1955" s="6" t="s">
        <v>2367</v>
      </c>
      <c r="K1955" s="7">
        <v>43601</v>
      </c>
      <c r="L1955" s="8">
        <v>0.36805555555555558</v>
      </c>
      <c r="M1955" s="6" t="s">
        <v>3033</v>
      </c>
      <c r="N1955" s="6" t="s">
        <v>21</v>
      </c>
      <c r="O1955" s="6" t="s">
        <v>22</v>
      </c>
    </row>
    <row r="1956" spans="1:15" hidden="1">
      <c r="A1956" t="s">
        <v>15</v>
      </c>
      <c r="B1956" t="str">
        <f>"FES1162690057"</f>
        <v>FES1162690057</v>
      </c>
      <c r="C1956" s="9">
        <v>43600</v>
      </c>
      <c r="D1956">
        <v>1</v>
      </c>
      <c r="E1956">
        <v>2170688435</v>
      </c>
      <c r="F1956" t="s">
        <v>16</v>
      </c>
      <c r="G1956" t="s">
        <v>17</v>
      </c>
      <c r="H1956" t="s">
        <v>32</v>
      </c>
      <c r="I1956" t="s">
        <v>33</v>
      </c>
      <c r="J1956" t="s">
        <v>1438</v>
      </c>
      <c r="K1956" s="9">
        <v>43601</v>
      </c>
      <c r="L1956" s="10">
        <v>0.37847222222222227</v>
      </c>
      <c r="M1956" t="s">
        <v>1439</v>
      </c>
      <c r="N1956" t="s">
        <v>3034</v>
      </c>
      <c r="O1956" t="s">
        <v>22</v>
      </c>
    </row>
    <row r="1957" spans="1:15" hidden="1">
      <c r="A1957" t="s">
        <v>15</v>
      </c>
      <c r="B1957" t="str">
        <f>"FES1162690037"</f>
        <v>FES1162690037</v>
      </c>
      <c r="C1957" s="9">
        <v>43600</v>
      </c>
      <c r="D1957">
        <v>1</v>
      </c>
      <c r="E1957">
        <v>2170688494</v>
      </c>
      <c r="F1957" t="s">
        <v>16</v>
      </c>
      <c r="G1957" t="s">
        <v>17</v>
      </c>
      <c r="H1957" t="s">
        <v>43</v>
      </c>
      <c r="I1957" t="s">
        <v>44</v>
      </c>
      <c r="J1957" t="s">
        <v>733</v>
      </c>
      <c r="K1957" s="9">
        <v>43601</v>
      </c>
      <c r="L1957" s="10">
        <v>0.51111111111111118</v>
      </c>
      <c r="M1957" t="s">
        <v>2769</v>
      </c>
      <c r="N1957" t="s">
        <v>3035</v>
      </c>
      <c r="O1957" t="s">
        <v>22</v>
      </c>
    </row>
    <row r="1958" spans="1:15">
      <c r="A1958" s="6" t="s">
        <v>15</v>
      </c>
      <c r="B1958" s="6" t="str">
        <f>"FES1162689895"</f>
        <v>FES1162689895</v>
      </c>
      <c r="C1958" s="7">
        <v>43600</v>
      </c>
      <c r="D1958" s="6">
        <v>1</v>
      </c>
      <c r="E1958" s="6">
        <v>2170688371</v>
      </c>
      <c r="F1958" s="6" t="s">
        <v>16</v>
      </c>
      <c r="G1958" s="6" t="s">
        <v>17</v>
      </c>
      <c r="H1958" s="6" t="s">
        <v>17</v>
      </c>
      <c r="I1958" s="6" t="s">
        <v>414</v>
      </c>
      <c r="J1958" s="6" t="s">
        <v>1096</v>
      </c>
      <c r="K1958" s="7">
        <v>43601</v>
      </c>
      <c r="L1958" s="8">
        <v>0.33333333333333331</v>
      </c>
      <c r="M1958" s="6" t="s">
        <v>1539</v>
      </c>
      <c r="N1958" s="6" t="s">
        <v>21</v>
      </c>
      <c r="O1958" s="6" t="s">
        <v>22</v>
      </c>
    </row>
    <row r="1959" spans="1:15">
      <c r="A1959" s="6" t="s">
        <v>15</v>
      </c>
      <c r="B1959" s="6" t="str">
        <f>"FES1162689903"</f>
        <v>FES1162689903</v>
      </c>
      <c r="C1959" s="7">
        <v>43600</v>
      </c>
      <c r="D1959" s="6">
        <v>1</v>
      </c>
      <c r="E1959" s="6">
        <v>2170688385</v>
      </c>
      <c r="F1959" s="6" t="s">
        <v>16</v>
      </c>
      <c r="G1959" s="6" t="s">
        <v>17</v>
      </c>
      <c r="H1959" s="6" t="s">
        <v>17</v>
      </c>
      <c r="I1959" s="6" t="s">
        <v>610</v>
      </c>
      <c r="J1959" s="6" t="s">
        <v>2046</v>
      </c>
      <c r="K1959" s="7">
        <v>43601</v>
      </c>
      <c r="L1959" s="8">
        <v>0.39583333333333331</v>
      </c>
      <c r="M1959" s="6" t="s">
        <v>3036</v>
      </c>
      <c r="N1959" s="6" t="s">
        <v>21</v>
      </c>
      <c r="O1959" s="6" t="s">
        <v>22</v>
      </c>
    </row>
    <row r="1960" spans="1:15">
      <c r="A1960" s="6" t="s">
        <v>15</v>
      </c>
      <c r="B1960" s="6" t="str">
        <f>"FES1162689945"</f>
        <v>FES1162689945</v>
      </c>
      <c r="C1960" s="7">
        <v>43600</v>
      </c>
      <c r="D1960" s="6">
        <v>1</v>
      </c>
      <c r="E1960" s="6">
        <v>2170686338</v>
      </c>
      <c r="F1960" s="6" t="s">
        <v>16</v>
      </c>
      <c r="G1960" s="6" t="s">
        <v>17</v>
      </c>
      <c r="H1960" s="6" t="s">
        <v>17</v>
      </c>
      <c r="I1960" s="6" t="s">
        <v>103</v>
      </c>
      <c r="J1960" s="6" t="s">
        <v>3037</v>
      </c>
      <c r="K1960" s="7">
        <v>43601</v>
      </c>
      <c r="L1960" s="8">
        <v>0.36458333333333331</v>
      </c>
      <c r="M1960" s="6" t="s">
        <v>3038</v>
      </c>
      <c r="N1960" s="6" t="s">
        <v>21</v>
      </c>
      <c r="O1960" s="6" t="s">
        <v>22</v>
      </c>
    </row>
    <row r="1961" spans="1:15">
      <c r="A1961" s="6" t="s">
        <v>15</v>
      </c>
      <c r="B1961" s="6" t="str">
        <f>"FES1162689492"</f>
        <v>FES1162689492</v>
      </c>
      <c r="C1961" s="7">
        <v>43600</v>
      </c>
      <c r="D1961" s="6">
        <v>1</v>
      </c>
      <c r="E1961" s="6">
        <v>2170688053</v>
      </c>
      <c r="F1961" s="6" t="s">
        <v>16</v>
      </c>
      <c r="G1961" s="6" t="s">
        <v>17</v>
      </c>
      <c r="H1961" s="6" t="s">
        <v>17</v>
      </c>
      <c r="I1961" s="6" t="s">
        <v>29</v>
      </c>
      <c r="J1961" s="6" t="s">
        <v>30</v>
      </c>
      <c r="K1961" s="7">
        <v>43601</v>
      </c>
      <c r="L1961" s="8">
        <v>0.43055555555555558</v>
      </c>
      <c r="M1961" s="6" t="s">
        <v>3039</v>
      </c>
      <c r="N1961" s="6" t="s">
        <v>21</v>
      </c>
      <c r="O1961" s="6" t="s">
        <v>22</v>
      </c>
    </row>
    <row r="1962" spans="1:15">
      <c r="A1962" s="6" t="s">
        <v>15</v>
      </c>
      <c r="B1962" s="6" t="str">
        <f>"FES1162689975"</f>
        <v>FES1162689975</v>
      </c>
      <c r="C1962" s="7">
        <v>43600</v>
      </c>
      <c r="D1962" s="6">
        <v>1</v>
      </c>
      <c r="E1962" s="6">
        <v>2170686955</v>
      </c>
      <c r="F1962" s="6" t="s">
        <v>16</v>
      </c>
      <c r="G1962" s="6" t="s">
        <v>17</v>
      </c>
      <c r="H1962" s="6" t="s">
        <v>17</v>
      </c>
      <c r="I1962" s="6" t="s">
        <v>23</v>
      </c>
      <c r="J1962" s="6" t="s">
        <v>483</v>
      </c>
      <c r="K1962" s="7">
        <v>43601</v>
      </c>
      <c r="L1962" s="8">
        <v>0.32500000000000001</v>
      </c>
      <c r="M1962" s="6" t="s">
        <v>152</v>
      </c>
      <c r="N1962" s="6" t="s">
        <v>21</v>
      </c>
      <c r="O1962" s="6" t="s">
        <v>22</v>
      </c>
    </row>
    <row r="1963" spans="1:15">
      <c r="A1963" s="6" t="s">
        <v>15</v>
      </c>
      <c r="B1963" s="6" t="str">
        <f>"FES1162690036"</f>
        <v>FES1162690036</v>
      </c>
      <c r="C1963" s="7">
        <v>43600</v>
      </c>
      <c r="D1963" s="6">
        <v>1</v>
      </c>
      <c r="E1963" s="6">
        <v>2170688493</v>
      </c>
      <c r="F1963" s="6" t="s">
        <v>16</v>
      </c>
      <c r="G1963" s="6" t="s">
        <v>17</v>
      </c>
      <c r="H1963" s="6" t="s">
        <v>17</v>
      </c>
      <c r="I1963" s="6" t="s">
        <v>1376</v>
      </c>
      <c r="J1963" s="6" t="s">
        <v>1377</v>
      </c>
      <c r="K1963" s="7">
        <v>43605</v>
      </c>
      <c r="L1963" s="8">
        <v>0.35416666666666669</v>
      </c>
      <c r="M1963" s="6" t="s">
        <v>1279</v>
      </c>
      <c r="N1963" s="6" t="s">
        <v>21</v>
      </c>
      <c r="O1963" s="6" t="s">
        <v>22</v>
      </c>
    </row>
    <row r="1964" spans="1:15">
      <c r="A1964" s="6" t="s">
        <v>15</v>
      </c>
      <c r="B1964" s="6" t="str">
        <f>"FES1162689909"</f>
        <v>FES1162689909</v>
      </c>
      <c r="C1964" s="7">
        <v>43600</v>
      </c>
      <c r="D1964" s="6">
        <v>1</v>
      </c>
      <c r="E1964" s="6">
        <v>2170688393</v>
      </c>
      <c r="F1964" s="6" t="s">
        <v>16</v>
      </c>
      <c r="G1964" s="6" t="s">
        <v>17</v>
      </c>
      <c r="H1964" s="6" t="s">
        <v>17</v>
      </c>
      <c r="I1964" s="6" t="s">
        <v>23</v>
      </c>
      <c r="J1964" s="6" t="s">
        <v>2367</v>
      </c>
      <c r="K1964" s="7">
        <v>43601</v>
      </c>
      <c r="L1964" s="8">
        <v>0.36805555555555558</v>
      </c>
      <c r="M1964" s="6" t="s">
        <v>3033</v>
      </c>
      <c r="N1964" s="6" t="s">
        <v>21</v>
      </c>
      <c r="O1964" s="6" t="s">
        <v>22</v>
      </c>
    </row>
    <row r="1965" spans="1:15" hidden="1">
      <c r="A1965" t="s">
        <v>15</v>
      </c>
      <c r="B1965" t="str">
        <f>"FES1162690008"</f>
        <v>FES1162690008</v>
      </c>
      <c r="C1965" s="9">
        <v>43600</v>
      </c>
      <c r="D1965">
        <v>1</v>
      </c>
      <c r="E1965">
        <v>2170688455</v>
      </c>
      <c r="F1965" t="s">
        <v>16</v>
      </c>
      <c r="G1965" t="s">
        <v>17</v>
      </c>
      <c r="H1965" t="s">
        <v>43</v>
      </c>
      <c r="I1965" t="s">
        <v>2943</v>
      </c>
      <c r="J1965" t="s">
        <v>3040</v>
      </c>
      <c r="K1965" s="9">
        <v>43601</v>
      </c>
      <c r="L1965" s="10">
        <v>0.4826388888888889</v>
      </c>
      <c r="M1965" t="s">
        <v>3041</v>
      </c>
      <c r="N1965" t="s">
        <v>3042</v>
      </c>
      <c r="O1965" t="s">
        <v>22</v>
      </c>
    </row>
    <row r="1966" spans="1:15" hidden="1">
      <c r="A1966" t="s">
        <v>15</v>
      </c>
      <c r="B1966" t="str">
        <f>"FES1162689876"</f>
        <v>FES1162689876</v>
      </c>
      <c r="C1966" s="9">
        <v>43600</v>
      </c>
      <c r="D1966">
        <v>1</v>
      </c>
      <c r="E1966">
        <v>2170680344</v>
      </c>
      <c r="F1966" t="s">
        <v>16</v>
      </c>
      <c r="G1966" t="s">
        <v>17</v>
      </c>
      <c r="H1966" t="s">
        <v>32</v>
      </c>
      <c r="I1966" t="s">
        <v>33</v>
      </c>
      <c r="J1966" t="s">
        <v>34</v>
      </c>
      <c r="K1966" s="9">
        <v>43601</v>
      </c>
      <c r="L1966" s="10">
        <v>0.34722222222222227</v>
      </c>
      <c r="M1966" t="s">
        <v>35</v>
      </c>
      <c r="N1966" t="s">
        <v>3043</v>
      </c>
      <c r="O1966" t="s">
        <v>22</v>
      </c>
    </row>
    <row r="1967" spans="1:15" hidden="1">
      <c r="A1967" t="s">
        <v>15</v>
      </c>
      <c r="B1967" t="str">
        <f>"FES1162690002"</f>
        <v>FES1162690002</v>
      </c>
      <c r="C1967" s="9">
        <v>43600</v>
      </c>
      <c r="D1967">
        <v>1</v>
      </c>
      <c r="E1967">
        <v>2170688449</v>
      </c>
      <c r="F1967" t="s">
        <v>16</v>
      </c>
      <c r="G1967" t="s">
        <v>17</v>
      </c>
      <c r="H1967" t="s">
        <v>32</v>
      </c>
      <c r="I1967" t="s">
        <v>33</v>
      </c>
      <c r="J1967" t="s">
        <v>365</v>
      </c>
      <c r="K1967" s="9">
        <v>43601</v>
      </c>
      <c r="L1967" s="10">
        <v>0.38194444444444442</v>
      </c>
      <c r="M1967" t="s">
        <v>2444</v>
      </c>
      <c r="N1967" t="s">
        <v>3044</v>
      </c>
      <c r="O1967" t="s">
        <v>22</v>
      </c>
    </row>
    <row r="1968" spans="1:15" hidden="1">
      <c r="A1968" t="s">
        <v>15</v>
      </c>
      <c r="B1968" t="str">
        <f>"FES1162690027"</f>
        <v>FES1162690027</v>
      </c>
      <c r="C1968" s="9">
        <v>43600</v>
      </c>
      <c r="D1968">
        <v>1</v>
      </c>
      <c r="E1968">
        <v>217688485</v>
      </c>
      <c r="F1968" t="s">
        <v>16</v>
      </c>
      <c r="G1968" t="s">
        <v>17</v>
      </c>
      <c r="H1968" t="s">
        <v>43</v>
      </c>
      <c r="I1968" t="s">
        <v>44</v>
      </c>
      <c r="J1968" t="s">
        <v>3045</v>
      </c>
      <c r="K1968" s="9">
        <v>43601</v>
      </c>
      <c r="L1968" s="10">
        <v>0.37847222222222227</v>
      </c>
      <c r="M1968" t="s">
        <v>3046</v>
      </c>
      <c r="N1968" t="s">
        <v>3047</v>
      </c>
      <c r="O1968" t="s">
        <v>22</v>
      </c>
    </row>
    <row r="1969" spans="1:15" hidden="1">
      <c r="A1969" t="s">
        <v>15</v>
      </c>
      <c r="B1969" t="str">
        <f>"FES1162690018"</f>
        <v>FES1162690018</v>
      </c>
      <c r="C1969" s="9">
        <v>43600</v>
      </c>
      <c r="D1969">
        <v>1</v>
      </c>
      <c r="E1969">
        <v>2170688471</v>
      </c>
      <c r="F1969" t="s">
        <v>16</v>
      </c>
      <c r="G1969" t="s">
        <v>17</v>
      </c>
      <c r="H1969" t="s">
        <v>43</v>
      </c>
      <c r="I1969" t="s">
        <v>44</v>
      </c>
      <c r="J1969" t="s">
        <v>3048</v>
      </c>
      <c r="K1969" s="9">
        <v>43601</v>
      </c>
      <c r="L1969" s="10">
        <v>0.40972222222222227</v>
      </c>
      <c r="M1969" t="s">
        <v>3049</v>
      </c>
      <c r="N1969" t="s">
        <v>3050</v>
      </c>
      <c r="O1969" t="s">
        <v>22</v>
      </c>
    </row>
    <row r="1970" spans="1:15" hidden="1">
      <c r="A1970" t="s">
        <v>15</v>
      </c>
      <c r="B1970" t="str">
        <f>"FES1162690051"</f>
        <v>FES1162690051</v>
      </c>
      <c r="C1970" s="9">
        <v>43600</v>
      </c>
      <c r="D1970">
        <v>1</v>
      </c>
      <c r="E1970">
        <v>2170688504</v>
      </c>
      <c r="F1970" t="s">
        <v>16</v>
      </c>
      <c r="G1970" t="s">
        <v>17</v>
      </c>
      <c r="H1970" t="s">
        <v>43</v>
      </c>
      <c r="I1970" t="s">
        <v>60</v>
      </c>
      <c r="J1970" t="s">
        <v>3051</v>
      </c>
      <c r="K1970" s="9">
        <v>43602</v>
      </c>
      <c r="L1970" s="10">
        <v>0.37847222222222227</v>
      </c>
      <c r="M1970" t="s">
        <v>3052</v>
      </c>
      <c r="N1970" t="s">
        <v>3053</v>
      </c>
      <c r="O1970" t="s">
        <v>22</v>
      </c>
    </row>
    <row r="1971" spans="1:15" hidden="1">
      <c r="A1971" t="s">
        <v>15</v>
      </c>
      <c r="B1971" t="str">
        <f>"FES1162689964"</f>
        <v>FES1162689964</v>
      </c>
      <c r="C1971" s="9">
        <v>43600</v>
      </c>
      <c r="D1971">
        <v>1</v>
      </c>
      <c r="E1971">
        <v>2170686820</v>
      </c>
      <c r="F1971" t="s">
        <v>16</v>
      </c>
      <c r="G1971" t="s">
        <v>17</v>
      </c>
      <c r="H1971" t="s">
        <v>32</v>
      </c>
      <c r="I1971" t="s">
        <v>342</v>
      </c>
      <c r="J1971" t="s">
        <v>549</v>
      </c>
      <c r="K1971" s="9">
        <v>43601</v>
      </c>
      <c r="L1971" s="10">
        <v>0.52777777777777779</v>
      </c>
      <c r="M1971" t="s">
        <v>3054</v>
      </c>
      <c r="N1971" t="s">
        <v>3055</v>
      </c>
      <c r="O1971" t="s">
        <v>22</v>
      </c>
    </row>
    <row r="1972" spans="1:15" hidden="1">
      <c r="A1972" t="s">
        <v>15</v>
      </c>
      <c r="B1972" t="str">
        <f>"FES1162690024"</f>
        <v>FES1162690024</v>
      </c>
      <c r="C1972" s="9">
        <v>43600</v>
      </c>
      <c r="D1972">
        <v>1</v>
      </c>
      <c r="E1972">
        <v>2170688481</v>
      </c>
      <c r="F1972" t="s">
        <v>16</v>
      </c>
      <c r="G1972" t="s">
        <v>17</v>
      </c>
      <c r="H1972" t="s">
        <v>43</v>
      </c>
      <c r="I1972" t="s">
        <v>44</v>
      </c>
      <c r="J1972" t="s">
        <v>2908</v>
      </c>
      <c r="K1972" s="9">
        <v>43601</v>
      </c>
      <c r="L1972" s="10">
        <v>0.3756944444444445</v>
      </c>
      <c r="M1972" t="s">
        <v>3056</v>
      </c>
      <c r="N1972" t="s">
        <v>3057</v>
      </c>
      <c r="O1972" t="s">
        <v>22</v>
      </c>
    </row>
    <row r="1973" spans="1:15" hidden="1">
      <c r="A1973" t="s">
        <v>15</v>
      </c>
      <c r="B1973" t="str">
        <f>"FES1162690052"</f>
        <v>FES1162690052</v>
      </c>
      <c r="C1973" s="9">
        <v>43600</v>
      </c>
      <c r="D1973">
        <v>1</v>
      </c>
      <c r="E1973">
        <v>2170688505</v>
      </c>
      <c r="F1973" t="s">
        <v>16</v>
      </c>
      <c r="G1973" t="s">
        <v>17</v>
      </c>
      <c r="H1973" t="s">
        <v>43</v>
      </c>
      <c r="I1973" t="s">
        <v>44</v>
      </c>
      <c r="J1973" t="s">
        <v>48</v>
      </c>
      <c r="K1973" s="9">
        <v>43601</v>
      </c>
      <c r="L1973" s="10">
        <v>0.60277777777777775</v>
      </c>
      <c r="M1973" t="s">
        <v>2978</v>
      </c>
      <c r="N1973" t="s">
        <v>3058</v>
      </c>
      <c r="O1973" t="s">
        <v>22</v>
      </c>
    </row>
    <row r="1974" spans="1:15" hidden="1">
      <c r="A1974" t="s">
        <v>15</v>
      </c>
      <c r="B1974" t="str">
        <f>"FES1162690054"</f>
        <v>FES1162690054</v>
      </c>
      <c r="C1974" s="9">
        <v>43600</v>
      </c>
      <c r="D1974">
        <v>1</v>
      </c>
      <c r="E1974">
        <v>2170687822</v>
      </c>
      <c r="F1974" t="s">
        <v>16</v>
      </c>
      <c r="G1974" t="s">
        <v>17</v>
      </c>
      <c r="H1974" t="s">
        <v>43</v>
      </c>
      <c r="I1974" t="s">
        <v>75</v>
      </c>
      <c r="J1974" t="s">
        <v>2472</v>
      </c>
      <c r="K1974" s="9">
        <v>43601</v>
      </c>
      <c r="L1974" s="10">
        <v>0.46527777777777773</v>
      </c>
      <c r="M1974" t="s">
        <v>2473</v>
      </c>
      <c r="N1974" t="s">
        <v>3059</v>
      </c>
      <c r="O1974" t="s">
        <v>22</v>
      </c>
    </row>
    <row r="1975" spans="1:15" hidden="1">
      <c r="A1975" t="s">
        <v>15</v>
      </c>
      <c r="B1975" t="str">
        <f>"FES1162690010"</f>
        <v>FES1162690010</v>
      </c>
      <c r="C1975" s="9">
        <v>43600</v>
      </c>
      <c r="D1975">
        <v>1</v>
      </c>
      <c r="E1975">
        <v>2170688457</v>
      </c>
      <c r="F1975" t="s">
        <v>16</v>
      </c>
      <c r="G1975" t="s">
        <v>17</v>
      </c>
      <c r="H1975" t="s">
        <v>43</v>
      </c>
      <c r="I1975" t="s">
        <v>44</v>
      </c>
      <c r="J1975" t="s">
        <v>207</v>
      </c>
      <c r="K1975" s="9">
        <v>43601</v>
      </c>
      <c r="L1975" s="10">
        <v>0.41666666666666669</v>
      </c>
      <c r="M1975" t="s">
        <v>208</v>
      </c>
      <c r="N1975" t="s">
        <v>3060</v>
      </c>
      <c r="O1975" t="s">
        <v>22</v>
      </c>
    </row>
    <row r="1976" spans="1:15" hidden="1">
      <c r="A1976" t="s">
        <v>15</v>
      </c>
      <c r="B1976" t="str">
        <f>"FES1162690001"</f>
        <v>FES1162690001</v>
      </c>
      <c r="C1976" s="9">
        <v>43600</v>
      </c>
      <c r="D1976">
        <v>1</v>
      </c>
      <c r="E1976">
        <v>2170688448</v>
      </c>
      <c r="F1976" t="s">
        <v>16</v>
      </c>
      <c r="G1976" t="s">
        <v>17</v>
      </c>
      <c r="H1976" t="s">
        <v>290</v>
      </c>
      <c r="I1976" t="s">
        <v>291</v>
      </c>
      <c r="J1976" t="s">
        <v>1030</v>
      </c>
      <c r="K1976" s="9">
        <v>43601</v>
      </c>
      <c r="L1976" s="10">
        <v>0.33333333333333331</v>
      </c>
      <c r="M1976" t="s">
        <v>2751</v>
      </c>
      <c r="N1976" t="s">
        <v>3061</v>
      </c>
      <c r="O1976" t="s">
        <v>22</v>
      </c>
    </row>
    <row r="1977" spans="1:15" hidden="1">
      <c r="A1977" t="s">
        <v>15</v>
      </c>
      <c r="B1977" t="str">
        <f>"FES1162690028"</f>
        <v>FES1162690028</v>
      </c>
      <c r="C1977" s="9">
        <v>43600</v>
      </c>
      <c r="D1977">
        <v>1</v>
      </c>
      <c r="E1977">
        <v>2170688486</v>
      </c>
      <c r="F1977" t="s">
        <v>16</v>
      </c>
      <c r="G1977" t="s">
        <v>17</v>
      </c>
      <c r="H1977" t="s">
        <v>300</v>
      </c>
      <c r="I1977" t="s">
        <v>1553</v>
      </c>
      <c r="J1977" t="s">
        <v>3062</v>
      </c>
      <c r="K1977" s="9">
        <v>43601</v>
      </c>
      <c r="L1977" s="10">
        <v>0.39097222222222222</v>
      </c>
      <c r="M1977" t="s">
        <v>3063</v>
      </c>
      <c r="N1977" t="s">
        <v>3064</v>
      </c>
      <c r="O1977" t="s">
        <v>22</v>
      </c>
    </row>
    <row r="1978" spans="1:15" hidden="1">
      <c r="A1978" t="s">
        <v>15</v>
      </c>
      <c r="B1978" t="str">
        <f>"FES1162689986"</f>
        <v>FES1162689986</v>
      </c>
      <c r="C1978" s="9">
        <v>43600</v>
      </c>
      <c r="D1978">
        <v>1</v>
      </c>
      <c r="E1978">
        <v>2170688428</v>
      </c>
      <c r="F1978" t="s">
        <v>16</v>
      </c>
      <c r="G1978" t="s">
        <v>17</v>
      </c>
      <c r="H1978" t="s">
        <v>32</v>
      </c>
      <c r="I1978" t="s">
        <v>342</v>
      </c>
      <c r="J1978" t="s">
        <v>726</v>
      </c>
      <c r="K1978" s="9">
        <v>43601</v>
      </c>
      <c r="L1978" s="10">
        <v>0.40277777777777773</v>
      </c>
      <c r="M1978" t="s">
        <v>3065</v>
      </c>
      <c r="N1978" t="s">
        <v>3066</v>
      </c>
      <c r="O1978" t="s">
        <v>22</v>
      </c>
    </row>
    <row r="1979" spans="1:15">
      <c r="A1979" s="6" t="s">
        <v>15</v>
      </c>
      <c r="B1979" s="6" t="str">
        <f>"FES1162690031"</f>
        <v>FES1162690031</v>
      </c>
      <c r="C1979" s="7">
        <v>43600</v>
      </c>
      <c r="D1979" s="6">
        <v>1</v>
      </c>
      <c r="E1979" s="6">
        <v>2170688488</v>
      </c>
      <c r="F1979" s="6" t="s">
        <v>16</v>
      </c>
      <c r="G1979" s="6" t="s">
        <v>17</v>
      </c>
      <c r="H1979" s="6" t="s">
        <v>17</v>
      </c>
      <c r="I1979" s="6" t="s">
        <v>64</v>
      </c>
      <c r="J1979" s="6" t="s">
        <v>2825</v>
      </c>
      <c r="K1979" s="7">
        <v>43601</v>
      </c>
      <c r="L1979" s="8">
        <v>0.40486111111111112</v>
      </c>
      <c r="M1979" s="6" t="s">
        <v>31</v>
      </c>
      <c r="N1979" s="6" t="s">
        <v>21</v>
      </c>
      <c r="O1979" s="6" t="s">
        <v>22</v>
      </c>
    </row>
    <row r="1980" spans="1:15">
      <c r="A1980" s="6" t="s">
        <v>15</v>
      </c>
      <c r="B1980" s="6" t="str">
        <f>"FES1162690003"</f>
        <v>FES1162690003</v>
      </c>
      <c r="C1980" s="7">
        <v>43600</v>
      </c>
      <c r="D1980" s="6">
        <v>1</v>
      </c>
      <c r="E1980" s="6">
        <v>2170688450</v>
      </c>
      <c r="F1980" s="6" t="s">
        <v>16</v>
      </c>
      <c r="G1980" s="6" t="s">
        <v>17</v>
      </c>
      <c r="H1980" s="6" t="s">
        <v>17</v>
      </c>
      <c r="I1980" s="6" t="s">
        <v>64</v>
      </c>
      <c r="J1980" s="6" t="s">
        <v>524</v>
      </c>
      <c r="K1980" s="7">
        <v>43601</v>
      </c>
      <c r="L1980" s="8">
        <v>0.40625</v>
      </c>
      <c r="M1980" s="6" t="s">
        <v>97</v>
      </c>
      <c r="N1980" s="6" t="s">
        <v>21</v>
      </c>
      <c r="O1980" s="6" t="s">
        <v>22</v>
      </c>
    </row>
    <row r="1981" spans="1:15">
      <c r="A1981" s="6" t="s">
        <v>15</v>
      </c>
      <c r="B1981" s="6" t="str">
        <f>"FES1162689997"</f>
        <v>FES1162689997</v>
      </c>
      <c r="C1981" s="7">
        <v>43600</v>
      </c>
      <c r="D1981" s="6">
        <v>2</v>
      </c>
      <c r="E1981" s="6">
        <v>2170688437</v>
      </c>
      <c r="F1981" s="6" t="s">
        <v>16</v>
      </c>
      <c r="G1981" s="6" t="s">
        <v>17</v>
      </c>
      <c r="H1981" s="6" t="s">
        <v>17</v>
      </c>
      <c r="I1981" s="6" t="s">
        <v>18</v>
      </c>
      <c r="J1981" s="6" t="s">
        <v>2032</v>
      </c>
      <c r="K1981" s="7">
        <v>43601</v>
      </c>
      <c r="L1981" s="8">
        <v>0.40347222222222223</v>
      </c>
      <c r="M1981" s="6" t="s">
        <v>66</v>
      </c>
      <c r="N1981" s="6" t="s">
        <v>21</v>
      </c>
      <c r="O1981" s="6" t="s">
        <v>22</v>
      </c>
    </row>
    <row r="1982" spans="1:15" hidden="1">
      <c r="A1982" t="s">
        <v>15</v>
      </c>
      <c r="B1982" t="str">
        <f>"FES1162689893"</f>
        <v>FES1162689893</v>
      </c>
      <c r="C1982" s="9">
        <v>43600</v>
      </c>
      <c r="D1982">
        <v>1</v>
      </c>
      <c r="E1982">
        <v>2170688365</v>
      </c>
      <c r="F1982" t="s">
        <v>16</v>
      </c>
      <c r="G1982" t="s">
        <v>17</v>
      </c>
      <c r="H1982" t="s">
        <v>290</v>
      </c>
      <c r="I1982" t="s">
        <v>291</v>
      </c>
      <c r="J1982" t="s">
        <v>313</v>
      </c>
      <c r="K1982" s="9">
        <v>43601</v>
      </c>
      <c r="L1982" s="10">
        <v>0.44097222222222227</v>
      </c>
      <c r="M1982" t="s">
        <v>2762</v>
      </c>
      <c r="N1982" t="s">
        <v>3067</v>
      </c>
      <c r="O1982" t="s">
        <v>22</v>
      </c>
    </row>
    <row r="1983" spans="1:15" hidden="1">
      <c r="A1983" t="s">
        <v>15</v>
      </c>
      <c r="B1983" t="str">
        <f>"FES1162689946"</f>
        <v>FES1162689946</v>
      </c>
      <c r="C1983" s="9">
        <v>43600</v>
      </c>
      <c r="D1983">
        <v>1</v>
      </c>
      <c r="E1983">
        <v>2170686379</v>
      </c>
      <c r="F1983" t="s">
        <v>16</v>
      </c>
      <c r="G1983" t="s">
        <v>17</v>
      </c>
      <c r="H1983" t="s">
        <v>141</v>
      </c>
      <c r="I1983" t="s">
        <v>898</v>
      </c>
      <c r="J1983" t="s">
        <v>899</v>
      </c>
      <c r="K1983" s="9">
        <v>43601</v>
      </c>
      <c r="L1983" s="10">
        <v>0.47916666666666669</v>
      </c>
      <c r="M1983" t="s">
        <v>900</v>
      </c>
      <c r="N1983" t="s">
        <v>3068</v>
      </c>
      <c r="O1983" t="s">
        <v>22</v>
      </c>
    </row>
    <row r="1984" spans="1:15" hidden="1">
      <c r="A1984" t="s">
        <v>15</v>
      </c>
      <c r="B1984" t="str">
        <f>"FES1162689952"</f>
        <v>FES1162689952</v>
      </c>
      <c r="C1984" s="9">
        <v>43600</v>
      </c>
      <c r="D1984">
        <v>1</v>
      </c>
      <c r="E1984">
        <v>2170686493</v>
      </c>
      <c r="F1984" t="s">
        <v>16</v>
      </c>
      <c r="G1984" t="s">
        <v>17</v>
      </c>
      <c r="H1984" t="s">
        <v>141</v>
      </c>
      <c r="I1984" t="s">
        <v>185</v>
      </c>
      <c r="J1984" t="s">
        <v>1816</v>
      </c>
      <c r="K1984" s="9">
        <v>43601</v>
      </c>
      <c r="L1984" s="10">
        <v>0.36527777777777781</v>
      </c>
      <c r="M1984" t="s">
        <v>516</v>
      </c>
      <c r="N1984" t="s">
        <v>3069</v>
      </c>
      <c r="O1984" t="s">
        <v>22</v>
      </c>
    </row>
    <row r="1985" spans="1:15" hidden="1">
      <c r="A1985" t="s">
        <v>15</v>
      </c>
      <c r="B1985" t="str">
        <f>"FES1162689985"</f>
        <v>FES1162689985</v>
      </c>
      <c r="C1985" s="9">
        <v>43600</v>
      </c>
      <c r="D1985">
        <v>1</v>
      </c>
      <c r="E1985">
        <v>2170688427</v>
      </c>
      <c r="F1985" t="s">
        <v>16</v>
      </c>
      <c r="G1985" t="s">
        <v>17</v>
      </c>
      <c r="H1985" t="s">
        <v>141</v>
      </c>
      <c r="I1985" t="s">
        <v>142</v>
      </c>
      <c r="J1985" t="s">
        <v>213</v>
      </c>
      <c r="K1985" s="9">
        <v>43601</v>
      </c>
      <c r="L1985" s="10">
        <v>0.36458333333333331</v>
      </c>
      <c r="M1985" t="s">
        <v>214</v>
      </c>
      <c r="N1985" t="s">
        <v>3070</v>
      </c>
      <c r="O1985" t="s">
        <v>22</v>
      </c>
    </row>
    <row r="1986" spans="1:15" hidden="1">
      <c r="A1986" t="s">
        <v>15</v>
      </c>
      <c r="B1986" t="str">
        <f>"FES1162689984"</f>
        <v>FES1162689984</v>
      </c>
      <c r="C1986" s="9">
        <v>43600</v>
      </c>
      <c r="D1986">
        <v>1</v>
      </c>
      <c r="E1986">
        <v>2170688423</v>
      </c>
      <c r="F1986" t="s">
        <v>16</v>
      </c>
      <c r="G1986" t="s">
        <v>17</v>
      </c>
      <c r="H1986" t="s">
        <v>132</v>
      </c>
      <c r="I1986" t="s">
        <v>133</v>
      </c>
      <c r="J1986" t="s">
        <v>238</v>
      </c>
      <c r="K1986" s="9">
        <v>43601</v>
      </c>
      <c r="L1986" s="10">
        <v>0.33333333333333331</v>
      </c>
      <c r="M1986" t="s">
        <v>3071</v>
      </c>
      <c r="N1986" t="s">
        <v>3072</v>
      </c>
      <c r="O1986" t="s">
        <v>22</v>
      </c>
    </row>
    <row r="1987" spans="1:15" hidden="1">
      <c r="A1987" t="s">
        <v>15</v>
      </c>
      <c r="B1987" t="str">
        <f>"FES1162689942"</f>
        <v>FES1162689942</v>
      </c>
      <c r="C1987" s="9">
        <v>43600</v>
      </c>
      <c r="D1987">
        <v>1</v>
      </c>
      <c r="E1987">
        <v>2170686060</v>
      </c>
      <c r="F1987" t="s">
        <v>16</v>
      </c>
      <c r="G1987" t="s">
        <v>17</v>
      </c>
      <c r="H1987" t="s">
        <v>141</v>
      </c>
      <c r="I1987" t="s">
        <v>854</v>
      </c>
      <c r="J1987" t="s">
        <v>578</v>
      </c>
      <c r="K1987" s="9">
        <v>43601</v>
      </c>
      <c r="L1987" s="10">
        <v>0.53749999999999998</v>
      </c>
      <c r="M1987" t="s">
        <v>3073</v>
      </c>
      <c r="N1987" t="s">
        <v>3074</v>
      </c>
      <c r="O1987" t="s">
        <v>22</v>
      </c>
    </row>
    <row r="1988" spans="1:15" hidden="1">
      <c r="A1988" t="s">
        <v>15</v>
      </c>
      <c r="B1988" t="str">
        <f>"FES1162689988"</f>
        <v>FES1162689988</v>
      </c>
      <c r="C1988" s="9">
        <v>43600</v>
      </c>
      <c r="D1988">
        <v>1</v>
      </c>
      <c r="E1988">
        <v>2170686905</v>
      </c>
      <c r="F1988" t="s">
        <v>16</v>
      </c>
      <c r="G1988" t="s">
        <v>17</v>
      </c>
      <c r="H1988" t="s">
        <v>141</v>
      </c>
      <c r="I1988" t="s">
        <v>142</v>
      </c>
      <c r="J1988" t="s">
        <v>976</v>
      </c>
      <c r="K1988" s="9">
        <v>43601</v>
      </c>
      <c r="L1988" s="10">
        <v>0.4069444444444445</v>
      </c>
      <c r="M1988" t="s">
        <v>3075</v>
      </c>
      <c r="N1988" t="s">
        <v>3076</v>
      </c>
      <c r="O1988" t="s">
        <v>22</v>
      </c>
    </row>
    <row r="1989" spans="1:15" hidden="1">
      <c r="A1989" t="s">
        <v>15</v>
      </c>
      <c r="B1989" t="str">
        <f>"FES1162689971"</f>
        <v>FES1162689971</v>
      </c>
      <c r="C1989" s="9">
        <v>43600</v>
      </c>
      <c r="D1989">
        <v>1</v>
      </c>
      <c r="E1989">
        <v>21706868888</v>
      </c>
      <c r="F1989" t="s">
        <v>16</v>
      </c>
      <c r="G1989" t="s">
        <v>17</v>
      </c>
      <c r="H1989" t="s">
        <v>141</v>
      </c>
      <c r="I1989" t="s">
        <v>448</v>
      </c>
      <c r="J1989" t="s">
        <v>979</v>
      </c>
      <c r="K1989" s="9">
        <v>43601</v>
      </c>
      <c r="L1989" s="10">
        <v>0.4291666666666667</v>
      </c>
      <c r="M1989" t="s">
        <v>2395</v>
      </c>
      <c r="N1989" t="s">
        <v>3077</v>
      </c>
      <c r="O1989" t="s">
        <v>22</v>
      </c>
    </row>
    <row r="1990" spans="1:15" hidden="1">
      <c r="A1990" t="s">
        <v>15</v>
      </c>
      <c r="B1990" t="str">
        <f>"FES1162689959"</f>
        <v>FES1162689959</v>
      </c>
      <c r="C1990" s="9">
        <v>43600</v>
      </c>
      <c r="D1990">
        <v>1</v>
      </c>
      <c r="E1990">
        <v>2170686612</v>
      </c>
      <c r="F1990" t="s">
        <v>16</v>
      </c>
      <c r="G1990" t="s">
        <v>17</v>
      </c>
      <c r="H1990" t="s">
        <v>141</v>
      </c>
      <c r="I1990" t="s">
        <v>185</v>
      </c>
      <c r="J1990" t="s">
        <v>1011</v>
      </c>
      <c r="K1990" s="9">
        <v>43601</v>
      </c>
      <c r="L1990" s="10">
        <v>0.3527777777777778</v>
      </c>
      <c r="M1990" t="s">
        <v>1012</v>
      </c>
      <c r="N1990" t="s">
        <v>3078</v>
      </c>
      <c r="O1990" t="s">
        <v>22</v>
      </c>
    </row>
    <row r="1991" spans="1:15" hidden="1">
      <c r="A1991" t="s">
        <v>15</v>
      </c>
      <c r="B1991" t="str">
        <f>"FES1162689933"</f>
        <v>FES1162689933</v>
      </c>
      <c r="C1991" s="9">
        <v>43600</v>
      </c>
      <c r="D1991">
        <v>1</v>
      </c>
      <c r="E1991">
        <v>2170688417</v>
      </c>
      <c r="F1991" t="s">
        <v>16</v>
      </c>
      <c r="G1991" t="s">
        <v>17</v>
      </c>
      <c r="H1991" t="s">
        <v>141</v>
      </c>
      <c r="I1991" t="s">
        <v>142</v>
      </c>
      <c r="J1991" t="s">
        <v>228</v>
      </c>
      <c r="K1991" s="9">
        <v>43601</v>
      </c>
      <c r="L1991" s="10">
        <v>0.3888888888888889</v>
      </c>
      <c r="M1991" t="s">
        <v>229</v>
      </c>
      <c r="N1991" t="s">
        <v>3079</v>
      </c>
      <c r="O1991" t="s">
        <v>22</v>
      </c>
    </row>
    <row r="1992" spans="1:15" hidden="1">
      <c r="A1992" t="s">
        <v>15</v>
      </c>
      <c r="B1992" t="str">
        <f>"FES1162689991"</f>
        <v>FES1162689991</v>
      </c>
      <c r="C1992" s="9">
        <v>43600</v>
      </c>
      <c r="D1992">
        <v>1</v>
      </c>
      <c r="E1992">
        <v>2170688432</v>
      </c>
      <c r="F1992" t="s">
        <v>16</v>
      </c>
      <c r="G1992" t="s">
        <v>17</v>
      </c>
      <c r="H1992" t="s">
        <v>141</v>
      </c>
      <c r="I1992" t="s">
        <v>142</v>
      </c>
      <c r="J1992" t="s">
        <v>1411</v>
      </c>
      <c r="K1992" s="9">
        <v>43601</v>
      </c>
      <c r="L1992" s="10">
        <v>0.375</v>
      </c>
      <c r="M1992" t="s">
        <v>3080</v>
      </c>
      <c r="N1992" t="s">
        <v>3081</v>
      </c>
      <c r="O1992" t="s">
        <v>22</v>
      </c>
    </row>
    <row r="1993" spans="1:15" hidden="1">
      <c r="A1993" t="s">
        <v>15</v>
      </c>
      <c r="B1993" t="str">
        <f>"FES1162689935"</f>
        <v>FES1162689935</v>
      </c>
      <c r="C1993" s="9">
        <v>43600</v>
      </c>
      <c r="D1993">
        <v>1</v>
      </c>
      <c r="E1993">
        <v>2170688420</v>
      </c>
      <c r="F1993" t="s">
        <v>16</v>
      </c>
      <c r="G1993" t="s">
        <v>17</v>
      </c>
      <c r="H1993" t="s">
        <v>132</v>
      </c>
      <c r="I1993" t="s">
        <v>133</v>
      </c>
      <c r="J1993" t="s">
        <v>846</v>
      </c>
      <c r="K1993" s="9">
        <v>43601</v>
      </c>
      <c r="L1993" s="10">
        <v>0.41319444444444442</v>
      </c>
      <c r="M1993" t="s">
        <v>3082</v>
      </c>
      <c r="N1993" t="s">
        <v>3083</v>
      </c>
      <c r="O1993" t="s">
        <v>22</v>
      </c>
    </row>
    <row r="1994" spans="1:15" hidden="1">
      <c r="A1994" t="s">
        <v>15</v>
      </c>
      <c r="B1994" t="str">
        <f>"FES1162690045"</f>
        <v>FES1162690045</v>
      </c>
      <c r="C1994" s="9">
        <v>43600</v>
      </c>
      <c r="D1994">
        <v>1</v>
      </c>
      <c r="E1994">
        <v>2170688497</v>
      </c>
      <c r="F1994" t="s">
        <v>16</v>
      </c>
      <c r="G1994" t="s">
        <v>17</v>
      </c>
      <c r="H1994" t="s">
        <v>141</v>
      </c>
      <c r="I1994" t="s">
        <v>142</v>
      </c>
      <c r="J1994" t="s">
        <v>195</v>
      </c>
      <c r="K1994" s="9">
        <v>43601</v>
      </c>
      <c r="L1994" s="10">
        <v>0.35486111111111113</v>
      </c>
      <c r="M1994" t="s">
        <v>2412</v>
      </c>
      <c r="N1994" t="s">
        <v>3084</v>
      </c>
      <c r="O1994" t="s">
        <v>22</v>
      </c>
    </row>
    <row r="1995" spans="1:15">
      <c r="A1995" s="6" t="s">
        <v>15</v>
      </c>
      <c r="B1995" s="6" t="str">
        <f>"FES1162690034"</f>
        <v>FES1162690034</v>
      </c>
      <c r="C1995" s="7">
        <v>43600</v>
      </c>
      <c r="D1995" s="6">
        <v>1</v>
      </c>
      <c r="E1995" s="6">
        <v>2170688491</v>
      </c>
      <c r="F1995" s="6" t="s">
        <v>16</v>
      </c>
      <c r="G1995" s="6" t="s">
        <v>17</v>
      </c>
      <c r="H1995" s="6" t="s">
        <v>17</v>
      </c>
      <c r="I1995" s="6" t="s">
        <v>64</v>
      </c>
      <c r="J1995" s="6" t="s">
        <v>509</v>
      </c>
      <c r="K1995" s="7">
        <v>43601</v>
      </c>
      <c r="L1995" s="8">
        <v>0.31805555555555554</v>
      </c>
      <c r="M1995" s="6" t="s">
        <v>2864</v>
      </c>
      <c r="N1995" s="6" t="s">
        <v>21</v>
      </c>
      <c r="O1995" s="6" t="s">
        <v>22</v>
      </c>
    </row>
    <row r="1996" spans="1:15">
      <c r="A1996" s="6" t="s">
        <v>15</v>
      </c>
      <c r="B1996" s="6" t="str">
        <f>"FES1162690073"</f>
        <v>FES1162690073</v>
      </c>
      <c r="C1996" s="7">
        <v>43600</v>
      </c>
      <c r="D1996" s="6">
        <v>1</v>
      </c>
      <c r="E1996" s="6">
        <v>2170688523</v>
      </c>
      <c r="F1996" s="6" t="s">
        <v>16</v>
      </c>
      <c r="G1996" s="6" t="s">
        <v>17</v>
      </c>
      <c r="H1996" s="6" t="s">
        <v>17</v>
      </c>
      <c r="I1996" s="6" t="s">
        <v>18</v>
      </c>
      <c r="J1996" s="6" t="s">
        <v>19</v>
      </c>
      <c r="K1996" s="7">
        <v>43601</v>
      </c>
      <c r="L1996" s="8">
        <v>0.4201388888888889</v>
      </c>
      <c r="M1996" s="6" t="s">
        <v>3085</v>
      </c>
      <c r="N1996" s="6" t="s">
        <v>21</v>
      </c>
      <c r="O1996" s="6" t="s">
        <v>22</v>
      </c>
    </row>
    <row r="1997" spans="1:15" hidden="1">
      <c r="A1997" t="s">
        <v>15</v>
      </c>
      <c r="B1997" t="str">
        <f>"FES1162689929"</f>
        <v>FES1162689929</v>
      </c>
      <c r="C1997" s="9">
        <v>43600</v>
      </c>
      <c r="D1997">
        <v>1</v>
      </c>
      <c r="E1997">
        <v>2170688413</v>
      </c>
      <c r="F1997" t="s">
        <v>16</v>
      </c>
      <c r="G1997" t="s">
        <v>17</v>
      </c>
      <c r="H1997" t="s">
        <v>141</v>
      </c>
      <c r="I1997" t="s">
        <v>142</v>
      </c>
      <c r="J1997" t="s">
        <v>228</v>
      </c>
      <c r="K1997" s="9">
        <v>43601</v>
      </c>
      <c r="L1997" s="10">
        <v>0.39583333333333331</v>
      </c>
      <c r="M1997" t="s">
        <v>229</v>
      </c>
      <c r="N1997" t="s">
        <v>3086</v>
      </c>
      <c r="O1997" t="s">
        <v>22</v>
      </c>
    </row>
    <row r="1998" spans="1:15" hidden="1">
      <c r="A1998" t="s">
        <v>15</v>
      </c>
      <c r="B1998" t="str">
        <f>"009935723269"</f>
        <v>009935723269</v>
      </c>
      <c r="C1998" s="9">
        <v>43600</v>
      </c>
      <c r="D1998">
        <v>1</v>
      </c>
      <c r="E1998">
        <v>2170680644</v>
      </c>
      <c r="F1998" t="s">
        <v>16</v>
      </c>
      <c r="G1998" t="s">
        <v>17</v>
      </c>
      <c r="H1998" t="s">
        <v>141</v>
      </c>
      <c r="I1998" t="s">
        <v>854</v>
      </c>
      <c r="J1998" t="s">
        <v>1145</v>
      </c>
      <c r="K1998" s="9">
        <v>43601</v>
      </c>
      <c r="L1998" s="10">
        <v>0.48749999999999999</v>
      </c>
      <c r="M1998" t="s">
        <v>3087</v>
      </c>
      <c r="N1998" t="s">
        <v>3088</v>
      </c>
      <c r="O1998" t="s">
        <v>22</v>
      </c>
    </row>
    <row r="1999" spans="1:15" hidden="1">
      <c r="A1999" t="s">
        <v>15</v>
      </c>
      <c r="B1999" t="str">
        <f>"FES1162690046"</f>
        <v>FES1162690046</v>
      </c>
      <c r="C1999" s="9">
        <v>43600</v>
      </c>
      <c r="D1999">
        <v>1</v>
      </c>
      <c r="E1999">
        <v>2170688498</v>
      </c>
      <c r="F1999" t="s">
        <v>16</v>
      </c>
      <c r="G1999" t="s">
        <v>17</v>
      </c>
      <c r="H1999" t="s">
        <v>440</v>
      </c>
      <c r="I1999" t="s">
        <v>1546</v>
      </c>
      <c r="J1999" t="s">
        <v>1547</v>
      </c>
      <c r="K1999" s="9">
        <v>43601</v>
      </c>
      <c r="L1999" s="10">
        <v>0.375</v>
      </c>
      <c r="M1999" t="s">
        <v>2751</v>
      </c>
      <c r="N1999" t="s">
        <v>3089</v>
      </c>
      <c r="O1999" t="s">
        <v>22</v>
      </c>
    </row>
    <row r="2000" spans="1:15" hidden="1">
      <c r="A2000" t="s">
        <v>15</v>
      </c>
      <c r="B2000" t="str">
        <f>"FES1162690025"</f>
        <v>FES1162690025</v>
      </c>
      <c r="C2000" s="9">
        <v>43600</v>
      </c>
      <c r="D2000">
        <v>1</v>
      </c>
      <c r="E2000">
        <v>2170688480</v>
      </c>
      <c r="F2000" t="s">
        <v>16</v>
      </c>
      <c r="G2000" t="s">
        <v>17</v>
      </c>
      <c r="H2000" t="s">
        <v>132</v>
      </c>
      <c r="I2000" t="s">
        <v>1066</v>
      </c>
      <c r="J2000" t="s">
        <v>1067</v>
      </c>
      <c r="K2000" s="9">
        <v>43602</v>
      </c>
      <c r="L2000" s="10">
        <v>0.5395833333333333</v>
      </c>
      <c r="M2000" t="s">
        <v>579</v>
      </c>
      <c r="N2000" t="s">
        <v>3090</v>
      </c>
      <c r="O2000" t="s">
        <v>22</v>
      </c>
    </row>
    <row r="2001" spans="1:15" hidden="1">
      <c r="A2001" t="s">
        <v>15</v>
      </c>
      <c r="B2001" t="str">
        <f>"FES1162689908"</f>
        <v>FES1162689908</v>
      </c>
      <c r="C2001" s="9">
        <v>43600</v>
      </c>
      <c r="D2001">
        <v>1</v>
      </c>
      <c r="E2001">
        <v>2170688382</v>
      </c>
      <c r="F2001" t="s">
        <v>16</v>
      </c>
      <c r="G2001" t="s">
        <v>17</v>
      </c>
      <c r="H2001" t="s">
        <v>141</v>
      </c>
      <c r="I2001" t="s">
        <v>142</v>
      </c>
      <c r="J2001" t="s">
        <v>1380</v>
      </c>
      <c r="K2001" s="9">
        <v>43601</v>
      </c>
      <c r="L2001" s="10">
        <v>0.38194444444444442</v>
      </c>
      <c r="M2001" t="s">
        <v>3004</v>
      </c>
      <c r="N2001" t="s">
        <v>3091</v>
      </c>
      <c r="O2001" t="s">
        <v>22</v>
      </c>
    </row>
    <row r="2002" spans="1:15" hidden="1">
      <c r="A2002" t="s">
        <v>15</v>
      </c>
      <c r="B2002" t="str">
        <f>"FES1162689960"</f>
        <v>FES1162689960</v>
      </c>
      <c r="C2002" s="9">
        <v>43600</v>
      </c>
      <c r="D2002">
        <v>1</v>
      </c>
      <c r="E2002">
        <v>2170686641</v>
      </c>
      <c r="F2002" t="s">
        <v>16</v>
      </c>
      <c r="G2002" t="s">
        <v>17</v>
      </c>
      <c r="H2002" t="s">
        <v>141</v>
      </c>
      <c r="I2002" t="s">
        <v>142</v>
      </c>
      <c r="J2002" t="s">
        <v>213</v>
      </c>
      <c r="K2002" s="9">
        <v>43601</v>
      </c>
      <c r="L2002" s="10">
        <v>0.36458333333333331</v>
      </c>
      <c r="M2002" t="s">
        <v>214</v>
      </c>
      <c r="N2002" t="s">
        <v>3092</v>
      </c>
      <c r="O2002" t="s">
        <v>22</v>
      </c>
    </row>
    <row r="2003" spans="1:15" hidden="1">
      <c r="A2003" t="s">
        <v>15</v>
      </c>
      <c r="B2003" t="str">
        <f>"FES1162690026"</f>
        <v>FES1162690026</v>
      </c>
      <c r="C2003" s="9">
        <v>43600</v>
      </c>
      <c r="D2003">
        <v>1</v>
      </c>
      <c r="E2003">
        <v>2170688482</v>
      </c>
      <c r="F2003" t="s">
        <v>16</v>
      </c>
      <c r="G2003" t="s">
        <v>17</v>
      </c>
      <c r="H2003" t="s">
        <v>141</v>
      </c>
      <c r="I2003" t="s">
        <v>142</v>
      </c>
      <c r="J2003" t="s">
        <v>195</v>
      </c>
      <c r="K2003" s="9">
        <v>43601</v>
      </c>
      <c r="L2003" s="10">
        <v>0.35486111111111113</v>
      </c>
      <c r="M2003" t="s">
        <v>2412</v>
      </c>
      <c r="N2003" t="s">
        <v>3093</v>
      </c>
      <c r="O2003" t="s">
        <v>22</v>
      </c>
    </row>
    <row r="2004" spans="1:15" hidden="1">
      <c r="A2004" t="s">
        <v>15</v>
      </c>
      <c r="B2004" t="str">
        <f>"FES1162690006"</f>
        <v>FES1162690006</v>
      </c>
      <c r="C2004" s="9">
        <v>43600</v>
      </c>
      <c r="D2004">
        <v>1</v>
      </c>
      <c r="E2004">
        <v>2170688453</v>
      </c>
      <c r="F2004" t="s">
        <v>16</v>
      </c>
      <c r="G2004" t="s">
        <v>17</v>
      </c>
      <c r="H2004" t="s">
        <v>141</v>
      </c>
      <c r="I2004" t="s">
        <v>142</v>
      </c>
      <c r="J2004" t="s">
        <v>213</v>
      </c>
      <c r="K2004" s="9">
        <v>43601</v>
      </c>
      <c r="L2004" s="10">
        <v>0.36458333333333331</v>
      </c>
      <c r="M2004" t="s">
        <v>214</v>
      </c>
      <c r="N2004" t="s">
        <v>3094</v>
      </c>
      <c r="O2004" t="s">
        <v>22</v>
      </c>
    </row>
    <row r="2005" spans="1:15" hidden="1">
      <c r="A2005" t="s">
        <v>15</v>
      </c>
      <c r="B2005" t="str">
        <f>"FES1162690022"</f>
        <v>FES1162690022</v>
      </c>
      <c r="C2005" s="9">
        <v>43600</v>
      </c>
      <c r="D2005">
        <v>1</v>
      </c>
      <c r="E2005">
        <v>2170688478</v>
      </c>
      <c r="F2005" t="s">
        <v>16</v>
      </c>
      <c r="G2005" t="s">
        <v>17</v>
      </c>
      <c r="H2005" t="s">
        <v>141</v>
      </c>
      <c r="I2005" t="s">
        <v>142</v>
      </c>
      <c r="J2005" t="s">
        <v>213</v>
      </c>
      <c r="K2005" s="9">
        <v>43601</v>
      </c>
      <c r="L2005" s="10">
        <v>0.36458333333333331</v>
      </c>
      <c r="M2005" t="s">
        <v>214</v>
      </c>
      <c r="N2005" t="s">
        <v>3095</v>
      </c>
      <c r="O2005" t="s">
        <v>22</v>
      </c>
    </row>
    <row r="2006" spans="1:15" hidden="1">
      <c r="A2006" t="s">
        <v>15</v>
      </c>
      <c r="B2006" t="str">
        <f>"FES1162690091"</f>
        <v>FES1162690091</v>
      </c>
      <c r="C2006" s="9">
        <v>43600</v>
      </c>
      <c r="D2006">
        <v>1</v>
      </c>
      <c r="E2006">
        <v>2170688543</v>
      </c>
      <c r="F2006" t="s">
        <v>16</v>
      </c>
      <c r="G2006" t="s">
        <v>17</v>
      </c>
      <c r="H2006" t="s">
        <v>132</v>
      </c>
      <c r="I2006" t="s">
        <v>3096</v>
      </c>
      <c r="J2006" t="s">
        <v>3097</v>
      </c>
      <c r="K2006" s="9">
        <v>43601</v>
      </c>
      <c r="L2006" s="10">
        <v>0.44791666666666669</v>
      </c>
      <c r="M2006" t="s">
        <v>2583</v>
      </c>
      <c r="N2006" t="s">
        <v>3098</v>
      </c>
      <c r="O2006" t="s">
        <v>22</v>
      </c>
    </row>
    <row r="2007" spans="1:15" hidden="1">
      <c r="A2007" t="s">
        <v>15</v>
      </c>
      <c r="B2007" t="str">
        <f>"FES1162690075"</f>
        <v>FES1162690075</v>
      </c>
      <c r="C2007" s="9">
        <v>43600</v>
      </c>
      <c r="D2007">
        <v>1</v>
      </c>
      <c r="E2007">
        <v>2170688525</v>
      </c>
      <c r="F2007" t="s">
        <v>16</v>
      </c>
      <c r="G2007" t="s">
        <v>17</v>
      </c>
      <c r="H2007" t="s">
        <v>141</v>
      </c>
      <c r="I2007" t="s">
        <v>185</v>
      </c>
      <c r="J2007" t="s">
        <v>452</v>
      </c>
      <c r="K2007" s="9">
        <v>43601</v>
      </c>
      <c r="L2007" s="10">
        <v>0.4375</v>
      </c>
      <c r="M2007" t="s">
        <v>453</v>
      </c>
      <c r="N2007" t="s">
        <v>3099</v>
      </c>
      <c r="O2007" t="s">
        <v>22</v>
      </c>
    </row>
    <row r="2008" spans="1:15">
      <c r="A2008" s="6" t="s">
        <v>15</v>
      </c>
      <c r="B2008" s="6" t="str">
        <f>"FES1162690090"</f>
        <v>FES1162690090</v>
      </c>
      <c r="C2008" s="7">
        <v>43600</v>
      </c>
      <c r="D2008" s="6">
        <v>1</v>
      </c>
      <c r="E2008" s="6">
        <v>2170688542</v>
      </c>
      <c r="F2008" s="6" t="s">
        <v>16</v>
      </c>
      <c r="G2008" s="6" t="s">
        <v>17</v>
      </c>
      <c r="H2008" s="6" t="s">
        <v>17</v>
      </c>
      <c r="I2008" s="6" t="s">
        <v>421</v>
      </c>
      <c r="J2008" s="6" t="s">
        <v>422</v>
      </c>
      <c r="K2008" s="7">
        <v>43601</v>
      </c>
      <c r="L2008" s="8">
        <v>0.34722222222222227</v>
      </c>
      <c r="M2008" s="6" t="s">
        <v>3100</v>
      </c>
      <c r="N2008" s="6" t="s">
        <v>21</v>
      </c>
      <c r="O2008" s="6" t="s">
        <v>22</v>
      </c>
    </row>
    <row r="2009" spans="1:15" hidden="1">
      <c r="A2009" t="s">
        <v>15</v>
      </c>
      <c r="B2009" t="str">
        <f>"FES1162689992"</f>
        <v>FES1162689992</v>
      </c>
      <c r="C2009" s="9">
        <v>43600</v>
      </c>
      <c r="D2009">
        <v>1</v>
      </c>
      <c r="E2009">
        <v>2170688433</v>
      </c>
      <c r="F2009" t="s">
        <v>16</v>
      </c>
      <c r="G2009" t="s">
        <v>17</v>
      </c>
      <c r="H2009" t="s">
        <v>141</v>
      </c>
      <c r="I2009" t="s">
        <v>142</v>
      </c>
      <c r="J2009" t="s">
        <v>627</v>
      </c>
      <c r="K2009" s="9">
        <v>43601</v>
      </c>
      <c r="L2009" s="10">
        <v>0.37847222222222227</v>
      </c>
      <c r="M2009" t="s">
        <v>354</v>
      </c>
      <c r="N2009" t="s">
        <v>3101</v>
      </c>
      <c r="O2009" t="s">
        <v>22</v>
      </c>
    </row>
    <row r="2010" spans="1:15" hidden="1">
      <c r="A2010" t="s">
        <v>15</v>
      </c>
      <c r="B2010" t="str">
        <f>"FES1162690097"</f>
        <v>FES1162690097</v>
      </c>
      <c r="C2010" s="9">
        <v>43600</v>
      </c>
      <c r="D2010">
        <v>1</v>
      </c>
      <c r="E2010">
        <v>2170688532</v>
      </c>
      <c r="F2010" t="s">
        <v>16</v>
      </c>
      <c r="G2010" t="s">
        <v>17</v>
      </c>
      <c r="H2010" t="s">
        <v>141</v>
      </c>
      <c r="I2010" t="s">
        <v>448</v>
      </c>
      <c r="J2010" t="s">
        <v>449</v>
      </c>
      <c r="K2010" s="9">
        <v>43601</v>
      </c>
      <c r="L2010" s="10">
        <v>0.43055555555555558</v>
      </c>
      <c r="M2010" t="s">
        <v>2870</v>
      </c>
      <c r="N2010" t="s">
        <v>3102</v>
      </c>
      <c r="O2010" t="s">
        <v>22</v>
      </c>
    </row>
    <row r="2011" spans="1:15" hidden="1">
      <c r="A2011" t="s">
        <v>15</v>
      </c>
      <c r="B2011" t="str">
        <f>"FES1162690011"</f>
        <v>FES1162690011</v>
      </c>
      <c r="C2011" s="9">
        <v>43600</v>
      </c>
      <c r="D2011">
        <v>1</v>
      </c>
      <c r="E2011">
        <v>2170688460</v>
      </c>
      <c r="F2011" t="s">
        <v>16</v>
      </c>
      <c r="G2011" t="s">
        <v>17</v>
      </c>
      <c r="H2011" t="s">
        <v>141</v>
      </c>
      <c r="I2011" t="s">
        <v>448</v>
      </c>
      <c r="J2011" t="s">
        <v>449</v>
      </c>
      <c r="K2011" s="9">
        <v>43601</v>
      </c>
      <c r="L2011" s="10">
        <v>0.43055555555555558</v>
      </c>
      <c r="M2011" t="s">
        <v>2870</v>
      </c>
      <c r="N2011" t="s">
        <v>3103</v>
      </c>
      <c r="O2011" t="s">
        <v>22</v>
      </c>
    </row>
    <row r="2012" spans="1:15" hidden="1">
      <c r="A2012" t="s">
        <v>15</v>
      </c>
      <c r="B2012" t="str">
        <f>"FES1162690113"</f>
        <v>FES1162690113</v>
      </c>
      <c r="C2012" s="9">
        <v>43600</v>
      </c>
      <c r="D2012">
        <v>1</v>
      </c>
      <c r="E2012">
        <v>2170688564</v>
      </c>
      <c r="F2012" t="s">
        <v>16</v>
      </c>
      <c r="G2012" t="s">
        <v>17</v>
      </c>
      <c r="H2012" t="s">
        <v>290</v>
      </c>
      <c r="I2012" t="s">
        <v>291</v>
      </c>
      <c r="J2012" t="s">
        <v>3104</v>
      </c>
      <c r="K2012" s="9">
        <v>43601</v>
      </c>
      <c r="L2012" s="10">
        <v>0.38194444444444442</v>
      </c>
      <c r="M2012" t="s">
        <v>1205</v>
      </c>
      <c r="N2012" t="s">
        <v>3105</v>
      </c>
      <c r="O2012" t="s">
        <v>22</v>
      </c>
    </row>
    <row r="2013" spans="1:15">
      <c r="A2013" s="6" t="s">
        <v>15</v>
      </c>
      <c r="B2013" s="6" t="str">
        <f>"FES1162690066"</f>
        <v>FES1162690066</v>
      </c>
      <c r="C2013" s="7">
        <v>43600</v>
      </c>
      <c r="D2013" s="6">
        <v>1</v>
      </c>
      <c r="E2013" s="6">
        <v>2170688509</v>
      </c>
      <c r="F2013" s="6" t="s">
        <v>16</v>
      </c>
      <c r="G2013" s="6" t="s">
        <v>17</v>
      </c>
      <c r="H2013" s="6" t="s">
        <v>17</v>
      </c>
      <c r="I2013" s="6" t="s">
        <v>610</v>
      </c>
      <c r="J2013" s="6" t="s">
        <v>2355</v>
      </c>
      <c r="K2013" s="7">
        <v>43601</v>
      </c>
      <c r="L2013" s="8">
        <v>0.33333333333333331</v>
      </c>
      <c r="M2013" s="6" t="s">
        <v>3106</v>
      </c>
      <c r="N2013" s="6" t="s">
        <v>21</v>
      </c>
      <c r="O2013" s="6" t="s">
        <v>22</v>
      </c>
    </row>
    <row r="2014" spans="1:15">
      <c r="A2014" s="6" t="s">
        <v>15</v>
      </c>
      <c r="B2014" s="6" t="str">
        <f>"FES1162690100"</f>
        <v>FES1162690100</v>
      </c>
      <c r="C2014" s="7">
        <v>43600</v>
      </c>
      <c r="D2014" s="6">
        <v>1</v>
      </c>
      <c r="E2014" s="6">
        <v>2170688551</v>
      </c>
      <c r="F2014" s="6" t="s">
        <v>16</v>
      </c>
      <c r="G2014" s="6" t="s">
        <v>17</v>
      </c>
      <c r="H2014" s="6" t="s">
        <v>17</v>
      </c>
      <c r="I2014" s="6" t="s">
        <v>414</v>
      </c>
      <c r="J2014" s="6" t="s">
        <v>3107</v>
      </c>
      <c r="K2014" s="7">
        <v>43601</v>
      </c>
      <c r="L2014" s="8">
        <v>0.33333333333333331</v>
      </c>
      <c r="M2014" s="6" t="s">
        <v>3108</v>
      </c>
      <c r="N2014" s="6" t="s">
        <v>21</v>
      </c>
      <c r="O2014" s="6" t="s">
        <v>22</v>
      </c>
    </row>
    <row r="2015" spans="1:15" hidden="1">
      <c r="A2015" t="s">
        <v>15</v>
      </c>
      <c r="B2015" t="str">
        <f>"FES1162690080"</f>
        <v>FES1162690080</v>
      </c>
      <c r="C2015" s="9">
        <v>43600</v>
      </c>
      <c r="D2015">
        <v>1</v>
      </c>
      <c r="E2015">
        <v>2170688534</v>
      </c>
      <c r="F2015" t="s">
        <v>16</v>
      </c>
      <c r="G2015" t="s">
        <v>17</v>
      </c>
      <c r="H2015" t="s">
        <v>59</v>
      </c>
      <c r="I2015" t="s">
        <v>701</v>
      </c>
      <c r="J2015" t="s">
        <v>1379</v>
      </c>
      <c r="K2015" s="9">
        <v>43601</v>
      </c>
      <c r="L2015" s="10">
        <v>0.3576388888888889</v>
      </c>
      <c r="M2015" t="s">
        <v>2947</v>
      </c>
      <c r="N2015" t="s">
        <v>3109</v>
      </c>
      <c r="O2015" t="s">
        <v>22</v>
      </c>
    </row>
    <row r="2016" spans="1:15">
      <c r="A2016" s="6" t="s">
        <v>15</v>
      </c>
      <c r="B2016" s="6" t="str">
        <f>"FES1162690089"</f>
        <v>FES1162690089</v>
      </c>
      <c r="C2016" s="7">
        <v>43600</v>
      </c>
      <c r="D2016" s="6">
        <v>1</v>
      </c>
      <c r="E2016" s="6">
        <v>2170688540</v>
      </c>
      <c r="F2016" s="6" t="s">
        <v>16</v>
      </c>
      <c r="G2016" s="6" t="s">
        <v>17</v>
      </c>
      <c r="H2016" s="6" t="s">
        <v>17</v>
      </c>
      <c r="I2016" s="6" t="s">
        <v>18</v>
      </c>
      <c r="J2016" s="6" t="s">
        <v>19</v>
      </c>
      <c r="K2016" s="7">
        <v>43601</v>
      </c>
      <c r="L2016" s="8">
        <v>0.4201388888888889</v>
      </c>
      <c r="M2016" s="6" t="s">
        <v>3085</v>
      </c>
      <c r="N2016" s="6" t="s">
        <v>21</v>
      </c>
      <c r="O2016" s="6" t="s">
        <v>22</v>
      </c>
    </row>
    <row r="2017" spans="1:15" hidden="1">
      <c r="A2017" t="s">
        <v>15</v>
      </c>
      <c r="B2017" t="str">
        <f>"FES1162689941"</f>
        <v>FES1162689941</v>
      </c>
      <c r="C2017" s="9">
        <v>43600</v>
      </c>
      <c r="D2017">
        <v>1</v>
      </c>
      <c r="E2017">
        <v>2170685746</v>
      </c>
      <c r="F2017" t="s">
        <v>16</v>
      </c>
      <c r="G2017" t="s">
        <v>17</v>
      </c>
      <c r="H2017" t="s">
        <v>141</v>
      </c>
      <c r="I2017" t="s">
        <v>142</v>
      </c>
      <c r="J2017" t="s">
        <v>228</v>
      </c>
      <c r="K2017" s="9">
        <v>43601</v>
      </c>
      <c r="L2017" s="10">
        <v>0.39583333333333331</v>
      </c>
      <c r="M2017" t="s">
        <v>3110</v>
      </c>
      <c r="N2017" t="s">
        <v>3111</v>
      </c>
      <c r="O2017" t="s">
        <v>22</v>
      </c>
    </row>
    <row r="2018" spans="1:15" hidden="1">
      <c r="A2018" t="s">
        <v>15</v>
      </c>
      <c r="B2018" t="str">
        <f>"FES1162689912"</f>
        <v>FES1162689912</v>
      </c>
      <c r="C2018" s="9">
        <v>43600</v>
      </c>
      <c r="D2018">
        <v>1</v>
      </c>
      <c r="E2018">
        <v>2170688387</v>
      </c>
      <c r="F2018" t="s">
        <v>16</v>
      </c>
      <c r="G2018" t="s">
        <v>17</v>
      </c>
      <c r="H2018" t="s">
        <v>141</v>
      </c>
      <c r="I2018" t="s">
        <v>142</v>
      </c>
      <c r="J2018" t="s">
        <v>228</v>
      </c>
      <c r="K2018" s="9">
        <v>43601</v>
      </c>
      <c r="L2018" s="10">
        <v>0.39583333333333331</v>
      </c>
      <c r="M2018" t="s">
        <v>229</v>
      </c>
      <c r="N2018" t="s">
        <v>3112</v>
      </c>
      <c r="O2018" t="s">
        <v>22</v>
      </c>
    </row>
    <row r="2019" spans="1:15" hidden="1">
      <c r="A2019" t="s">
        <v>15</v>
      </c>
      <c r="B2019" t="str">
        <f>"FES1162689965"</f>
        <v>FES1162689965</v>
      </c>
      <c r="C2019" s="9">
        <v>43600</v>
      </c>
      <c r="D2019">
        <v>1</v>
      </c>
      <c r="E2019">
        <v>2170686823</v>
      </c>
      <c r="F2019" t="s">
        <v>16</v>
      </c>
      <c r="G2019" t="s">
        <v>17</v>
      </c>
      <c r="H2019" t="s">
        <v>141</v>
      </c>
      <c r="I2019" t="s">
        <v>142</v>
      </c>
      <c r="J2019" t="s">
        <v>3113</v>
      </c>
      <c r="K2019" s="9">
        <v>43601</v>
      </c>
      <c r="L2019" s="10">
        <v>0.42083333333333334</v>
      </c>
      <c r="M2019" t="s">
        <v>3114</v>
      </c>
      <c r="N2019" t="s">
        <v>3115</v>
      </c>
      <c r="O2019" t="s">
        <v>22</v>
      </c>
    </row>
    <row r="2020" spans="1:15" hidden="1">
      <c r="A2020" t="s">
        <v>15</v>
      </c>
      <c r="B2020" t="str">
        <f>"FES1162690041"</f>
        <v>FES1162690041</v>
      </c>
      <c r="C2020" s="9">
        <v>43600</v>
      </c>
      <c r="D2020">
        <v>1</v>
      </c>
      <c r="E2020">
        <v>2170687918</v>
      </c>
      <c r="F2020" t="s">
        <v>16</v>
      </c>
      <c r="G2020" t="s">
        <v>17</v>
      </c>
      <c r="H2020" t="s">
        <v>141</v>
      </c>
      <c r="I2020" t="s">
        <v>142</v>
      </c>
      <c r="J2020" t="s">
        <v>1380</v>
      </c>
      <c r="K2020" s="9">
        <v>43601</v>
      </c>
      <c r="L2020" s="10">
        <v>0.38194444444444442</v>
      </c>
      <c r="M2020" t="s">
        <v>3004</v>
      </c>
      <c r="N2020" t="s">
        <v>3116</v>
      </c>
      <c r="O2020" t="s">
        <v>22</v>
      </c>
    </row>
    <row r="2021" spans="1:15" hidden="1">
      <c r="A2021" t="s">
        <v>15</v>
      </c>
      <c r="B2021" t="str">
        <f>"FES1162690092"</f>
        <v>FES1162690092</v>
      </c>
      <c r="C2021" s="9">
        <v>43600</v>
      </c>
      <c r="D2021">
        <v>1</v>
      </c>
      <c r="E2021">
        <v>2170688544</v>
      </c>
      <c r="F2021" t="s">
        <v>16</v>
      </c>
      <c r="G2021" t="s">
        <v>17</v>
      </c>
      <c r="H2021" t="s">
        <v>290</v>
      </c>
      <c r="I2021" t="s">
        <v>291</v>
      </c>
      <c r="J2021" t="s">
        <v>709</v>
      </c>
      <c r="K2021" s="9">
        <v>43601</v>
      </c>
      <c r="L2021" s="10">
        <v>0.41666666666666669</v>
      </c>
      <c r="M2021" t="s">
        <v>3117</v>
      </c>
      <c r="N2021" t="s">
        <v>3118</v>
      </c>
      <c r="O2021" t="s">
        <v>22</v>
      </c>
    </row>
    <row r="2022" spans="1:15" hidden="1">
      <c r="A2022" t="s">
        <v>15</v>
      </c>
      <c r="B2022" t="str">
        <f>"FES1162690082"</f>
        <v>FES1162690082</v>
      </c>
      <c r="C2022" s="9">
        <v>43600</v>
      </c>
      <c r="D2022">
        <v>1</v>
      </c>
      <c r="E2022">
        <v>2170688537</v>
      </c>
      <c r="F2022" t="s">
        <v>16</v>
      </c>
      <c r="G2022" t="s">
        <v>17</v>
      </c>
      <c r="H2022" t="s">
        <v>43</v>
      </c>
      <c r="I2022" t="s">
        <v>44</v>
      </c>
      <c r="J2022" t="s">
        <v>748</v>
      </c>
      <c r="K2022" s="9">
        <v>43601</v>
      </c>
      <c r="L2022" s="10">
        <v>0.41666666666666669</v>
      </c>
      <c r="M2022" t="s">
        <v>749</v>
      </c>
      <c r="N2022" t="s">
        <v>3119</v>
      </c>
      <c r="O2022" t="s">
        <v>22</v>
      </c>
    </row>
    <row r="2023" spans="1:15" hidden="1">
      <c r="A2023" t="s">
        <v>15</v>
      </c>
      <c r="B2023" t="str">
        <f>"FES1162690081"</f>
        <v>FES1162690081</v>
      </c>
      <c r="C2023" s="9">
        <v>43600</v>
      </c>
      <c r="D2023">
        <v>1</v>
      </c>
      <c r="E2023">
        <v>2170688535</v>
      </c>
      <c r="F2023" t="s">
        <v>16</v>
      </c>
      <c r="G2023" t="s">
        <v>17</v>
      </c>
      <c r="H2023" t="s">
        <v>43</v>
      </c>
      <c r="I2023" t="s">
        <v>44</v>
      </c>
      <c r="J2023" t="s">
        <v>1022</v>
      </c>
      <c r="K2023" s="9">
        <v>43601</v>
      </c>
      <c r="L2023" s="10">
        <v>0.41666666666666669</v>
      </c>
      <c r="M2023" t="s">
        <v>3120</v>
      </c>
      <c r="N2023" t="s">
        <v>3121</v>
      </c>
      <c r="O2023" t="s">
        <v>22</v>
      </c>
    </row>
    <row r="2024" spans="1:15" hidden="1">
      <c r="A2024" t="s">
        <v>15</v>
      </c>
      <c r="B2024" t="str">
        <f>"FES1162690078"</f>
        <v>FES1162690078</v>
      </c>
      <c r="C2024" s="9">
        <v>43600</v>
      </c>
      <c r="D2024">
        <v>1</v>
      </c>
      <c r="E2024">
        <v>2170688531</v>
      </c>
      <c r="F2024" t="s">
        <v>16</v>
      </c>
      <c r="G2024" t="s">
        <v>17</v>
      </c>
      <c r="H2024" t="s">
        <v>43</v>
      </c>
      <c r="I2024" t="s">
        <v>44</v>
      </c>
      <c r="J2024" t="s">
        <v>3122</v>
      </c>
      <c r="K2024" s="9">
        <v>43601</v>
      </c>
      <c r="L2024" s="10">
        <v>0.3611111111111111</v>
      </c>
      <c r="M2024" t="s">
        <v>3123</v>
      </c>
      <c r="N2024" t="s">
        <v>3124</v>
      </c>
      <c r="O2024" t="s">
        <v>22</v>
      </c>
    </row>
    <row r="2025" spans="1:15" hidden="1">
      <c r="A2025" t="s">
        <v>15</v>
      </c>
      <c r="B2025" t="str">
        <f>"FES1162690107"</f>
        <v>FES1162690107</v>
      </c>
      <c r="C2025" s="9">
        <v>43600</v>
      </c>
      <c r="D2025">
        <v>1</v>
      </c>
      <c r="E2025">
        <v>2170688558</v>
      </c>
      <c r="F2025" t="s">
        <v>16</v>
      </c>
      <c r="G2025" t="s">
        <v>17</v>
      </c>
      <c r="H2025" t="s">
        <v>32</v>
      </c>
      <c r="I2025" t="s">
        <v>342</v>
      </c>
      <c r="J2025" t="s">
        <v>380</v>
      </c>
      <c r="K2025" s="9">
        <v>43601</v>
      </c>
      <c r="L2025" s="10">
        <v>0.38541666666666669</v>
      </c>
      <c r="M2025" t="s">
        <v>1886</v>
      </c>
      <c r="N2025" t="s">
        <v>3125</v>
      </c>
      <c r="O2025" t="s">
        <v>22</v>
      </c>
    </row>
    <row r="2026" spans="1:15" hidden="1">
      <c r="A2026" t="s">
        <v>15</v>
      </c>
      <c r="B2026" t="str">
        <f>"FES1162690118"</f>
        <v>FES1162690118</v>
      </c>
      <c r="C2026" s="9">
        <v>43600</v>
      </c>
      <c r="D2026">
        <v>1</v>
      </c>
      <c r="E2026">
        <v>2170688569</v>
      </c>
      <c r="F2026" t="s">
        <v>16</v>
      </c>
      <c r="G2026" t="s">
        <v>17</v>
      </c>
      <c r="H2026" t="s">
        <v>32</v>
      </c>
      <c r="I2026" t="s">
        <v>33</v>
      </c>
      <c r="J2026" t="s">
        <v>357</v>
      </c>
      <c r="K2026" s="9">
        <v>43601</v>
      </c>
      <c r="L2026" s="10">
        <v>0.35555555555555557</v>
      </c>
      <c r="M2026" t="s">
        <v>2960</v>
      </c>
      <c r="N2026" t="s">
        <v>3126</v>
      </c>
      <c r="O2026" t="s">
        <v>22</v>
      </c>
    </row>
    <row r="2027" spans="1:15" hidden="1">
      <c r="A2027" t="s">
        <v>15</v>
      </c>
      <c r="B2027" t="str">
        <f>"FES1162689930"</f>
        <v>FES1162689930</v>
      </c>
      <c r="C2027" s="9">
        <v>43600</v>
      </c>
      <c r="D2027">
        <v>1</v>
      </c>
      <c r="E2027">
        <v>2170688414</v>
      </c>
      <c r="F2027" t="s">
        <v>16</v>
      </c>
      <c r="G2027" t="s">
        <v>17</v>
      </c>
      <c r="H2027" t="s">
        <v>141</v>
      </c>
      <c r="I2027" t="s">
        <v>185</v>
      </c>
      <c r="J2027" t="s">
        <v>503</v>
      </c>
      <c r="K2027" s="9">
        <v>43601</v>
      </c>
      <c r="L2027" s="10">
        <v>0.41805555555555557</v>
      </c>
      <c r="M2027" t="s">
        <v>1355</v>
      </c>
      <c r="N2027" t="s">
        <v>3127</v>
      </c>
      <c r="O2027" t="s">
        <v>22</v>
      </c>
    </row>
    <row r="2028" spans="1:15" hidden="1">
      <c r="A2028" t="s">
        <v>15</v>
      </c>
      <c r="B2028" t="str">
        <f>"FES1162690103"</f>
        <v>FES1162690103</v>
      </c>
      <c r="C2028" s="9">
        <v>43600</v>
      </c>
      <c r="D2028">
        <v>1</v>
      </c>
      <c r="E2028">
        <v>2170688553</v>
      </c>
      <c r="F2028" t="s">
        <v>16</v>
      </c>
      <c r="G2028" t="s">
        <v>17</v>
      </c>
      <c r="H2028" t="s">
        <v>37</v>
      </c>
      <c r="I2028" t="s">
        <v>38</v>
      </c>
      <c r="J2028" t="s">
        <v>559</v>
      </c>
      <c r="K2028" s="9">
        <v>43601</v>
      </c>
      <c r="L2028" s="10">
        <v>0.41666666666666669</v>
      </c>
      <c r="M2028" t="s">
        <v>2100</v>
      </c>
      <c r="N2028" t="s">
        <v>3128</v>
      </c>
      <c r="O2028" t="s">
        <v>22</v>
      </c>
    </row>
    <row r="2029" spans="1:15" hidden="1">
      <c r="A2029" t="s">
        <v>15</v>
      </c>
      <c r="B2029" t="str">
        <f>"FES1162690098"</f>
        <v>FES1162690098</v>
      </c>
      <c r="C2029" s="9">
        <v>43600</v>
      </c>
      <c r="D2029">
        <v>1</v>
      </c>
      <c r="E2029">
        <v>2170688547</v>
      </c>
      <c r="F2029" t="s">
        <v>16</v>
      </c>
      <c r="G2029" t="s">
        <v>17</v>
      </c>
      <c r="H2029" t="s">
        <v>141</v>
      </c>
      <c r="I2029" t="s">
        <v>185</v>
      </c>
      <c r="J2029" t="s">
        <v>192</v>
      </c>
      <c r="K2029" s="9">
        <v>43601</v>
      </c>
      <c r="L2029" s="10">
        <v>0.42708333333333331</v>
      </c>
      <c r="M2029" t="s">
        <v>193</v>
      </c>
      <c r="N2029" t="s">
        <v>3129</v>
      </c>
      <c r="O2029" t="s">
        <v>22</v>
      </c>
    </row>
    <row r="2030" spans="1:15" hidden="1">
      <c r="A2030" t="s">
        <v>15</v>
      </c>
      <c r="B2030" t="str">
        <f>"FES1162689904"</f>
        <v>FES1162689904</v>
      </c>
      <c r="C2030" s="9">
        <v>43600</v>
      </c>
      <c r="D2030">
        <v>1</v>
      </c>
      <c r="E2030">
        <v>2170688386</v>
      </c>
      <c r="F2030" t="s">
        <v>16</v>
      </c>
      <c r="G2030" t="s">
        <v>17</v>
      </c>
      <c r="H2030" t="s">
        <v>132</v>
      </c>
      <c r="I2030" t="s">
        <v>133</v>
      </c>
      <c r="J2030" t="s">
        <v>1008</v>
      </c>
      <c r="K2030" s="9">
        <v>43601</v>
      </c>
      <c r="L2030" s="10">
        <v>0.37222222222222223</v>
      </c>
      <c r="M2030" t="s">
        <v>3130</v>
      </c>
      <c r="N2030" t="s">
        <v>3131</v>
      </c>
      <c r="O2030" t="s">
        <v>22</v>
      </c>
    </row>
    <row r="2031" spans="1:15" hidden="1">
      <c r="A2031" t="s">
        <v>15</v>
      </c>
      <c r="B2031" t="str">
        <f>"FES1162689924"</f>
        <v>FES1162689924</v>
      </c>
      <c r="C2031" s="9">
        <v>43600</v>
      </c>
      <c r="D2031">
        <v>1</v>
      </c>
      <c r="E2031">
        <v>2170688409</v>
      </c>
      <c r="F2031" t="s">
        <v>16</v>
      </c>
      <c r="G2031" t="s">
        <v>17</v>
      </c>
      <c r="H2031" t="s">
        <v>32</v>
      </c>
      <c r="I2031" t="s">
        <v>33</v>
      </c>
      <c r="J2031" t="s">
        <v>843</v>
      </c>
      <c r="K2031" s="9">
        <v>43601</v>
      </c>
      <c r="L2031" s="10">
        <v>0.40972222222222227</v>
      </c>
      <c r="M2031" t="s">
        <v>3132</v>
      </c>
      <c r="N2031" t="s">
        <v>3133</v>
      </c>
      <c r="O2031" t="s">
        <v>22</v>
      </c>
    </row>
    <row r="2032" spans="1:15" hidden="1">
      <c r="A2032" t="s">
        <v>15</v>
      </c>
      <c r="B2032" t="str">
        <f>"FES1162690064"</f>
        <v>FES1162690064</v>
      </c>
      <c r="C2032" s="9">
        <v>43600</v>
      </c>
      <c r="D2032">
        <v>1</v>
      </c>
      <c r="E2032">
        <v>2170687658</v>
      </c>
      <c r="F2032" t="s">
        <v>16</v>
      </c>
      <c r="G2032" t="s">
        <v>17</v>
      </c>
      <c r="H2032" t="s">
        <v>43</v>
      </c>
      <c r="I2032" t="s">
        <v>44</v>
      </c>
      <c r="J2032" t="s">
        <v>45</v>
      </c>
      <c r="K2032" s="9">
        <v>43601</v>
      </c>
      <c r="L2032" s="10">
        <v>0.30277777777777776</v>
      </c>
      <c r="M2032" t="s">
        <v>3134</v>
      </c>
      <c r="N2032" t="s">
        <v>3135</v>
      </c>
      <c r="O2032" t="s">
        <v>22</v>
      </c>
    </row>
    <row r="2033" spans="1:15" hidden="1">
      <c r="A2033" t="s">
        <v>15</v>
      </c>
      <c r="B2033" t="str">
        <f>"FES1162690055"</f>
        <v>FES1162690055</v>
      </c>
      <c r="C2033" s="9">
        <v>43600</v>
      </c>
      <c r="D2033">
        <v>1</v>
      </c>
      <c r="E2033">
        <v>2170688237</v>
      </c>
      <c r="F2033" t="s">
        <v>16</v>
      </c>
      <c r="G2033" t="s">
        <v>17</v>
      </c>
      <c r="H2033" t="s">
        <v>43</v>
      </c>
      <c r="I2033" t="s">
        <v>44</v>
      </c>
      <c r="J2033" t="s">
        <v>748</v>
      </c>
      <c r="K2033" s="9">
        <v>43601</v>
      </c>
      <c r="L2033" s="10">
        <v>0.41666666666666669</v>
      </c>
      <c r="M2033" t="s">
        <v>749</v>
      </c>
      <c r="N2033" t="s">
        <v>3136</v>
      </c>
      <c r="O2033" t="s">
        <v>22</v>
      </c>
    </row>
    <row r="2034" spans="1:15" hidden="1">
      <c r="A2034" t="s">
        <v>15</v>
      </c>
      <c r="B2034" t="str">
        <f>"FES1162690117"</f>
        <v>FES1162690117</v>
      </c>
      <c r="C2034" s="9">
        <v>43600</v>
      </c>
      <c r="D2034">
        <v>1</v>
      </c>
      <c r="E2034">
        <v>2170688566</v>
      </c>
      <c r="F2034" t="s">
        <v>16</v>
      </c>
      <c r="G2034" t="s">
        <v>17</v>
      </c>
      <c r="H2034" t="s">
        <v>32</v>
      </c>
      <c r="I2034" t="s">
        <v>33</v>
      </c>
      <c r="J2034" t="s">
        <v>357</v>
      </c>
      <c r="K2034" s="9">
        <v>43601</v>
      </c>
      <c r="L2034" s="10">
        <v>0.35555555555555557</v>
      </c>
      <c r="M2034" t="s">
        <v>2960</v>
      </c>
      <c r="N2034" t="s">
        <v>3137</v>
      </c>
      <c r="O2034" t="s">
        <v>22</v>
      </c>
    </row>
    <row r="2035" spans="1:15" hidden="1">
      <c r="A2035" t="s">
        <v>15</v>
      </c>
      <c r="B2035" t="str">
        <f>"FES1162690042"</f>
        <v>FES1162690042</v>
      </c>
      <c r="C2035" s="9">
        <v>43600</v>
      </c>
      <c r="D2035">
        <v>1</v>
      </c>
      <c r="E2035">
        <v>2170688152</v>
      </c>
      <c r="F2035" t="s">
        <v>16</v>
      </c>
      <c r="G2035" t="s">
        <v>17</v>
      </c>
      <c r="H2035" t="s">
        <v>43</v>
      </c>
      <c r="I2035" t="s">
        <v>44</v>
      </c>
      <c r="J2035" t="s">
        <v>336</v>
      </c>
      <c r="K2035" s="9">
        <v>43601</v>
      </c>
      <c r="L2035" s="10">
        <v>0.41666666666666669</v>
      </c>
      <c r="M2035" t="s">
        <v>3138</v>
      </c>
      <c r="N2035" t="s">
        <v>3139</v>
      </c>
      <c r="O2035" t="s">
        <v>22</v>
      </c>
    </row>
    <row r="2036" spans="1:15">
      <c r="A2036" s="6" t="s">
        <v>15</v>
      </c>
      <c r="B2036" s="6" t="str">
        <f>"FES1162690115"</f>
        <v>FES1162690115</v>
      </c>
      <c r="C2036" s="7">
        <v>43600</v>
      </c>
      <c r="D2036" s="6">
        <v>1</v>
      </c>
      <c r="E2036" s="6">
        <v>21706885687</v>
      </c>
      <c r="F2036" s="6" t="s">
        <v>16</v>
      </c>
      <c r="G2036" s="6" t="s">
        <v>17</v>
      </c>
      <c r="H2036" s="6" t="s">
        <v>17</v>
      </c>
      <c r="I2036" s="6" t="s">
        <v>18</v>
      </c>
      <c r="J2036" s="6" t="s">
        <v>3140</v>
      </c>
      <c r="K2036" s="7">
        <v>43601</v>
      </c>
      <c r="L2036" s="8">
        <v>0.33333333333333331</v>
      </c>
      <c r="M2036" s="6" t="s">
        <v>100</v>
      </c>
      <c r="N2036" s="6" t="s">
        <v>21</v>
      </c>
      <c r="O2036" s="6" t="s">
        <v>22</v>
      </c>
    </row>
    <row r="2037" spans="1:15" hidden="1">
      <c r="A2037" t="s">
        <v>15</v>
      </c>
      <c r="B2037" t="str">
        <f>"FES1162690074"</f>
        <v>FES1162690074</v>
      </c>
      <c r="C2037" s="9">
        <v>43600</v>
      </c>
      <c r="D2037">
        <v>1</v>
      </c>
      <c r="E2037">
        <v>2170688522</v>
      </c>
      <c r="F2037" t="s">
        <v>16</v>
      </c>
      <c r="G2037" t="s">
        <v>17</v>
      </c>
      <c r="H2037" t="s">
        <v>141</v>
      </c>
      <c r="I2037" t="s">
        <v>448</v>
      </c>
      <c r="J2037" t="s">
        <v>449</v>
      </c>
      <c r="K2037" s="9">
        <v>43601</v>
      </c>
      <c r="L2037" s="10">
        <v>0.43055555555555558</v>
      </c>
      <c r="M2037" t="s">
        <v>2870</v>
      </c>
      <c r="N2037" t="s">
        <v>3141</v>
      </c>
      <c r="O2037" t="s">
        <v>22</v>
      </c>
    </row>
    <row r="2038" spans="1:15" hidden="1">
      <c r="A2038" t="s">
        <v>15</v>
      </c>
      <c r="B2038" t="str">
        <f>"FES1162690130"</f>
        <v>FES1162690130</v>
      </c>
      <c r="C2038" s="9">
        <v>43600</v>
      </c>
      <c r="D2038">
        <v>1</v>
      </c>
      <c r="E2038">
        <v>2170688588</v>
      </c>
      <c r="F2038" t="s">
        <v>16</v>
      </c>
      <c r="G2038" t="s">
        <v>17</v>
      </c>
      <c r="H2038" t="s">
        <v>32</v>
      </c>
      <c r="I2038" t="s">
        <v>33</v>
      </c>
      <c r="J2038" t="s">
        <v>1657</v>
      </c>
      <c r="K2038" s="9">
        <v>43601</v>
      </c>
      <c r="L2038" s="10">
        <v>0.38541666666666669</v>
      </c>
      <c r="M2038" t="s">
        <v>1658</v>
      </c>
      <c r="N2038" t="s">
        <v>3142</v>
      </c>
      <c r="O2038" t="s">
        <v>22</v>
      </c>
    </row>
    <row r="2039" spans="1:15" hidden="1">
      <c r="A2039" t="s">
        <v>15</v>
      </c>
      <c r="B2039" t="str">
        <f>"FES1162690119"</f>
        <v>FES1162690119</v>
      </c>
      <c r="C2039" s="9">
        <v>43600</v>
      </c>
      <c r="D2039">
        <v>1</v>
      </c>
      <c r="E2039">
        <v>2170688570</v>
      </c>
      <c r="F2039" t="s">
        <v>16</v>
      </c>
      <c r="G2039" t="s">
        <v>17</v>
      </c>
      <c r="H2039" t="s">
        <v>290</v>
      </c>
      <c r="I2039" t="s">
        <v>291</v>
      </c>
      <c r="J2039" t="s">
        <v>3143</v>
      </c>
      <c r="K2039" s="9">
        <v>43601</v>
      </c>
      <c r="L2039" s="10">
        <v>0.38194444444444442</v>
      </c>
      <c r="M2039" t="s">
        <v>3144</v>
      </c>
      <c r="N2039" t="s">
        <v>3145</v>
      </c>
      <c r="O2039" t="s">
        <v>22</v>
      </c>
    </row>
    <row r="2040" spans="1:15" hidden="1">
      <c r="A2040" t="s">
        <v>15</v>
      </c>
      <c r="B2040" t="str">
        <f>"FES1162690058"</f>
        <v>FES1162690058</v>
      </c>
      <c r="C2040" s="9">
        <v>43600</v>
      </c>
      <c r="D2040">
        <v>1</v>
      </c>
      <c r="E2040">
        <v>2170687821</v>
      </c>
      <c r="F2040" t="s">
        <v>16</v>
      </c>
      <c r="G2040" t="s">
        <v>17</v>
      </c>
      <c r="H2040" t="s">
        <v>141</v>
      </c>
      <c r="I2040" t="s">
        <v>142</v>
      </c>
      <c r="J2040" t="s">
        <v>864</v>
      </c>
      <c r="K2040" s="9">
        <v>43601</v>
      </c>
      <c r="L2040" s="10">
        <v>0.42083333333333334</v>
      </c>
      <c r="M2040" t="s">
        <v>2254</v>
      </c>
      <c r="N2040" t="s">
        <v>3146</v>
      </c>
      <c r="O2040" t="s">
        <v>22</v>
      </c>
    </row>
    <row r="2041" spans="1:15" hidden="1">
      <c r="A2041" t="s">
        <v>15</v>
      </c>
      <c r="B2041" t="str">
        <f>"FES1162690033"</f>
        <v>FES1162690033</v>
      </c>
      <c r="C2041" s="9">
        <v>43600</v>
      </c>
      <c r="D2041">
        <v>1</v>
      </c>
      <c r="E2041">
        <v>2170688490</v>
      </c>
      <c r="F2041" t="s">
        <v>16</v>
      </c>
      <c r="G2041" t="s">
        <v>17</v>
      </c>
      <c r="H2041" t="s">
        <v>141</v>
      </c>
      <c r="I2041" t="s">
        <v>464</v>
      </c>
      <c r="J2041" t="s">
        <v>3147</v>
      </c>
      <c r="K2041" s="9">
        <v>43601</v>
      </c>
      <c r="L2041" s="10">
        <v>0.38819444444444445</v>
      </c>
      <c r="M2041" t="s">
        <v>3148</v>
      </c>
      <c r="N2041" t="s">
        <v>3149</v>
      </c>
      <c r="O2041" t="s">
        <v>22</v>
      </c>
    </row>
    <row r="2042" spans="1:15" hidden="1">
      <c r="A2042" t="s">
        <v>15</v>
      </c>
      <c r="B2042" t="str">
        <f>"FES1162690128"</f>
        <v>FES1162690128</v>
      </c>
      <c r="C2042" s="9">
        <v>43600</v>
      </c>
      <c r="D2042">
        <v>1</v>
      </c>
      <c r="E2042">
        <v>2170688576</v>
      </c>
      <c r="F2042" t="s">
        <v>16</v>
      </c>
      <c r="G2042" t="s">
        <v>17</v>
      </c>
      <c r="H2042" t="s">
        <v>290</v>
      </c>
      <c r="I2042" t="s">
        <v>291</v>
      </c>
      <c r="J2042" t="s">
        <v>1744</v>
      </c>
      <c r="K2042" s="9">
        <v>43601</v>
      </c>
      <c r="L2042" s="10">
        <v>0.38541666666666669</v>
      </c>
      <c r="M2042" t="s">
        <v>2556</v>
      </c>
      <c r="N2042" t="s">
        <v>3150</v>
      </c>
      <c r="O2042" t="s">
        <v>22</v>
      </c>
    </row>
    <row r="2043" spans="1:15" hidden="1">
      <c r="A2043" t="s">
        <v>15</v>
      </c>
      <c r="B2043" t="str">
        <f>"FES1162690102"</f>
        <v>FES1162690102</v>
      </c>
      <c r="C2043" s="9">
        <v>43600</v>
      </c>
      <c r="D2043">
        <v>1</v>
      </c>
      <c r="E2043">
        <v>2170688406</v>
      </c>
      <c r="F2043" t="s">
        <v>16</v>
      </c>
      <c r="G2043" t="s">
        <v>17</v>
      </c>
      <c r="H2043" t="s">
        <v>43</v>
      </c>
      <c r="I2043" t="s">
        <v>44</v>
      </c>
      <c r="J2043" t="s">
        <v>51</v>
      </c>
      <c r="K2043" s="9">
        <v>43601</v>
      </c>
      <c r="L2043" s="10">
        <v>0.41666666666666669</v>
      </c>
      <c r="M2043" t="s">
        <v>1629</v>
      </c>
      <c r="N2043" t="s">
        <v>3151</v>
      </c>
      <c r="O2043" t="s">
        <v>22</v>
      </c>
    </row>
    <row r="2044" spans="1:15" hidden="1">
      <c r="A2044" t="s">
        <v>15</v>
      </c>
      <c r="B2044" t="str">
        <f>"FES1162690093"</f>
        <v>FES1162690093</v>
      </c>
      <c r="C2044" s="9">
        <v>43600</v>
      </c>
      <c r="D2044">
        <v>1</v>
      </c>
      <c r="E2044">
        <v>2170687138</v>
      </c>
      <c r="F2044" t="s">
        <v>16</v>
      </c>
      <c r="G2044" t="s">
        <v>17</v>
      </c>
      <c r="H2044" t="s">
        <v>32</v>
      </c>
      <c r="I2044" t="s">
        <v>33</v>
      </c>
      <c r="J2044" t="s">
        <v>365</v>
      </c>
      <c r="K2044" s="9">
        <v>43601</v>
      </c>
      <c r="L2044" s="10">
        <v>0.38194444444444442</v>
      </c>
      <c r="M2044" t="s">
        <v>2444</v>
      </c>
      <c r="N2044" t="s">
        <v>3152</v>
      </c>
      <c r="O2044" t="s">
        <v>22</v>
      </c>
    </row>
    <row r="2045" spans="1:15" hidden="1">
      <c r="A2045" t="s">
        <v>15</v>
      </c>
      <c r="B2045" t="str">
        <f>"FES1162690104"</f>
        <v>FES1162690104</v>
      </c>
      <c r="C2045" s="9">
        <v>43600</v>
      </c>
      <c r="D2045">
        <v>1</v>
      </c>
      <c r="E2045">
        <v>2170688555</v>
      </c>
      <c r="F2045" t="s">
        <v>16</v>
      </c>
      <c r="G2045" t="s">
        <v>17</v>
      </c>
      <c r="H2045" t="s">
        <v>43</v>
      </c>
      <c r="I2045" t="s">
        <v>75</v>
      </c>
      <c r="J2045" t="s">
        <v>2472</v>
      </c>
      <c r="K2045" s="9">
        <v>43601</v>
      </c>
      <c r="L2045" s="10">
        <v>0.46527777777777773</v>
      </c>
      <c r="M2045" t="s">
        <v>2473</v>
      </c>
      <c r="N2045" t="s">
        <v>3153</v>
      </c>
      <c r="O2045" t="s">
        <v>22</v>
      </c>
    </row>
    <row r="2046" spans="1:15" hidden="1">
      <c r="A2046" t="s">
        <v>15</v>
      </c>
      <c r="B2046" t="str">
        <f>"FES1162690108"</f>
        <v>FES1162690108</v>
      </c>
      <c r="C2046" s="9">
        <v>43600</v>
      </c>
      <c r="D2046">
        <v>1</v>
      </c>
      <c r="E2046">
        <v>2170688559</v>
      </c>
      <c r="F2046" t="s">
        <v>16</v>
      </c>
      <c r="G2046" t="s">
        <v>17</v>
      </c>
      <c r="H2046" t="s">
        <v>43</v>
      </c>
      <c r="I2046" t="s">
        <v>2943</v>
      </c>
      <c r="J2046" t="s">
        <v>3040</v>
      </c>
      <c r="K2046" s="9">
        <v>43601</v>
      </c>
      <c r="L2046" s="10">
        <v>0.4826388888888889</v>
      </c>
      <c r="M2046" t="s">
        <v>3041</v>
      </c>
      <c r="N2046" t="s">
        <v>3154</v>
      </c>
      <c r="O2046" t="s">
        <v>22</v>
      </c>
    </row>
    <row r="2047" spans="1:15" hidden="1">
      <c r="A2047" t="s">
        <v>15</v>
      </c>
      <c r="B2047" t="str">
        <f>"FES1162690084"</f>
        <v>FES1162690084</v>
      </c>
      <c r="C2047" s="9">
        <v>43600</v>
      </c>
      <c r="D2047">
        <v>1</v>
      </c>
      <c r="E2047">
        <v>2170676630</v>
      </c>
      <c r="F2047" t="s">
        <v>16</v>
      </c>
      <c r="G2047" t="s">
        <v>17</v>
      </c>
      <c r="H2047" t="s">
        <v>32</v>
      </c>
      <c r="I2047" t="s">
        <v>33</v>
      </c>
      <c r="J2047" t="s">
        <v>365</v>
      </c>
      <c r="K2047" s="9">
        <v>43601</v>
      </c>
      <c r="L2047" s="10">
        <v>0.38194444444444442</v>
      </c>
      <c r="M2047" t="s">
        <v>2444</v>
      </c>
      <c r="N2047" t="s">
        <v>3155</v>
      </c>
      <c r="O2047" t="s">
        <v>22</v>
      </c>
    </row>
    <row r="2048" spans="1:15" hidden="1">
      <c r="A2048" t="s">
        <v>15</v>
      </c>
      <c r="B2048" t="str">
        <f>"FES1162690120"</f>
        <v>FES1162690120</v>
      </c>
      <c r="C2048" s="9">
        <v>43600</v>
      </c>
      <c r="D2048">
        <v>1</v>
      </c>
      <c r="E2048">
        <v>2172688571</v>
      </c>
      <c r="F2048" t="s">
        <v>16</v>
      </c>
      <c r="G2048" t="s">
        <v>17</v>
      </c>
      <c r="H2048" t="s">
        <v>141</v>
      </c>
      <c r="I2048" t="s">
        <v>142</v>
      </c>
      <c r="J2048" t="s">
        <v>198</v>
      </c>
      <c r="K2048" s="9">
        <v>43601</v>
      </c>
      <c r="L2048" s="10">
        <v>0.42708333333333331</v>
      </c>
      <c r="M2048" t="s">
        <v>3156</v>
      </c>
      <c r="N2048" t="s">
        <v>3157</v>
      </c>
      <c r="O2048" t="s">
        <v>22</v>
      </c>
    </row>
    <row r="2049" spans="1:15" hidden="1">
      <c r="A2049" t="s">
        <v>15</v>
      </c>
      <c r="B2049" t="str">
        <f>"FES1162690129"</f>
        <v>FES1162690129</v>
      </c>
      <c r="C2049" s="9">
        <v>43600</v>
      </c>
      <c r="D2049">
        <v>1</v>
      </c>
      <c r="E2049">
        <v>2170688579</v>
      </c>
      <c r="F2049" t="s">
        <v>16</v>
      </c>
      <c r="G2049" t="s">
        <v>17</v>
      </c>
      <c r="H2049" t="s">
        <v>132</v>
      </c>
      <c r="I2049" t="s">
        <v>133</v>
      </c>
      <c r="J2049" t="s">
        <v>189</v>
      </c>
      <c r="K2049" s="9">
        <v>43601</v>
      </c>
      <c r="L2049" s="10">
        <v>0.40625</v>
      </c>
      <c r="M2049" t="s">
        <v>190</v>
      </c>
      <c r="N2049" t="s">
        <v>3158</v>
      </c>
      <c r="O2049" t="s">
        <v>22</v>
      </c>
    </row>
    <row r="2050" spans="1:15" hidden="1">
      <c r="A2050" t="s">
        <v>15</v>
      </c>
      <c r="B2050" t="str">
        <f>"FES1162690086"</f>
        <v>FES1162690086</v>
      </c>
      <c r="C2050" s="9">
        <v>43600</v>
      </c>
      <c r="D2050">
        <v>1</v>
      </c>
      <c r="E2050">
        <v>2170686918</v>
      </c>
      <c r="F2050" t="s">
        <v>16</v>
      </c>
      <c r="G2050" t="s">
        <v>17</v>
      </c>
      <c r="H2050" t="s">
        <v>43</v>
      </c>
      <c r="I2050" t="s">
        <v>738</v>
      </c>
      <c r="J2050" t="s">
        <v>942</v>
      </c>
      <c r="K2050" s="9">
        <v>43601</v>
      </c>
      <c r="L2050" s="10">
        <v>0.41666666666666669</v>
      </c>
      <c r="M2050" t="s">
        <v>2787</v>
      </c>
      <c r="N2050" t="s">
        <v>3159</v>
      </c>
      <c r="O2050" t="s">
        <v>22</v>
      </c>
    </row>
    <row r="2051" spans="1:15" hidden="1">
      <c r="A2051" t="s">
        <v>15</v>
      </c>
      <c r="B2051" t="str">
        <f>"FES1162690083"</f>
        <v>FES1162690083</v>
      </c>
      <c r="C2051" s="9">
        <v>43600</v>
      </c>
      <c r="D2051">
        <v>1</v>
      </c>
      <c r="E2051">
        <v>2170688539</v>
      </c>
      <c r="F2051" t="s">
        <v>16</v>
      </c>
      <c r="G2051" t="s">
        <v>17</v>
      </c>
      <c r="H2051" t="s">
        <v>37</v>
      </c>
      <c r="I2051" t="s">
        <v>3160</v>
      </c>
      <c r="J2051" t="s">
        <v>3161</v>
      </c>
      <c r="K2051" s="9">
        <v>43601</v>
      </c>
      <c r="L2051" t="s">
        <v>2423</v>
      </c>
      <c r="M2051" t="s">
        <v>3162</v>
      </c>
      <c r="N2051" t="s">
        <v>3163</v>
      </c>
      <c r="O2051" t="s">
        <v>22</v>
      </c>
    </row>
    <row r="2052" spans="1:15" hidden="1">
      <c r="A2052" t="s">
        <v>15</v>
      </c>
      <c r="B2052" t="str">
        <f>"FES1162690079"</f>
        <v>FES1162690079</v>
      </c>
      <c r="C2052" s="9">
        <v>43600</v>
      </c>
      <c r="D2052">
        <v>1</v>
      </c>
      <c r="E2052">
        <v>2170688533</v>
      </c>
      <c r="F2052" t="s">
        <v>16</v>
      </c>
      <c r="G2052" t="s">
        <v>17</v>
      </c>
      <c r="H2052" t="s">
        <v>37</v>
      </c>
      <c r="I2052" t="s">
        <v>38</v>
      </c>
      <c r="J2052" t="s">
        <v>535</v>
      </c>
      <c r="K2052" s="9">
        <v>43601</v>
      </c>
      <c r="L2052" s="10">
        <v>0.37152777777777773</v>
      </c>
      <c r="M2052" t="s">
        <v>1648</v>
      </c>
      <c r="N2052" t="s">
        <v>3164</v>
      </c>
      <c r="O2052" t="s">
        <v>22</v>
      </c>
    </row>
    <row r="2053" spans="1:15" hidden="1">
      <c r="A2053" t="s">
        <v>15</v>
      </c>
      <c r="B2053" t="str">
        <f>"FES1162690085"</f>
        <v>FES1162690085</v>
      </c>
      <c r="C2053" s="9">
        <v>43600</v>
      </c>
      <c r="D2053">
        <v>1</v>
      </c>
      <c r="E2053">
        <v>2170684637</v>
      </c>
      <c r="F2053" t="s">
        <v>16</v>
      </c>
      <c r="G2053" t="s">
        <v>17</v>
      </c>
      <c r="H2053" t="s">
        <v>37</v>
      </c>
      <c r="I2053" t="s">
        <v>38</v>
      </c>
      <c r="J2053" t="s">
        <v>535</v>
      </c>
      <c r="K2053" s="9">
        <v>43601</v>
      </c>
      <c r="L2053" s="10">
        <v>0.37152777777777773</v>
      </c>
      <c r="M2053" t="s">
        <v>1648</v>
      </c>
      <c r="N2053" t="s">
        <v>3165</v>
      </c>
      <c r="O2053" t="s">
        <v>22</v>
      </c>
    </row>
    <row r="2054" spans="1:15" hidden="1">
      <c r="A2054" t="s">
        <v>15</v>
      </c>
      <c r="B2054" t="str">
        <f>"FES1162690032"</f>
        <v>FES1162690032</v>
      </c>
      <c r="C2054" s="9">
        <v>43600</v>
      </c>
      <c r="D2054">
        <v>1</v>
      </c>
      <c r="E2054">
        <v>2170688489</v>
      </c>
      <c r="F2054" t="s">
        <v>16</v>
      </c>
      <c r="G2054" t="s">
        <v>17</v>
      </c>
      <c r="H2054" t="s">
        <v>141</v>
      </c>
      <c r="I2054" t="s">
        <v>142</v>
      </c>
      <c r="J2054" t="s">
        <v>143</v>
      </c>
      <c r="K2054" s="9">
        <v>43601</v>
      </c>
      <c r="L2054" s="10">
        <v>0.4375</v>
      </c>
      <c r="M2054" t="s">
        <v>3166</v>
      </c>
      <c r="N2054" t="s">
        <v>3167</v>
      </c>
      <c r="O2054" t="s">
        <v>22</v>
      </c>
    </row>
    <row r="2055" spans="1:15" hidden="1">
      <c r="A2055" t="s">
        <v>15</v>
      </c>
      <c r="B2055" t="str">
        <f>"FES1162690029"</f>
        <v>FES1162690029</v>
      </c>
      <c r="C2055" s="9">
        <v>43600</v>
      </c>
      <c r="D2055">
        <v>1</v>
      </c>
      <c r="E2055">
        <v>2170688487</v>
      </c>
      <c r="F2055" t="s">
        <v>16</v>
      </c>
      <c r="G2055" t="s">
        <v>17</v>
      </c>
      <c r="H2055" t="s">
        <v>132</v>
      </c>
      <c r="I2055" t="s">
        <v>133</v>
      </c>
      <c r="J2055" t="s">
        <v>846</v>
      </c>
      <c r="K2055" s="9">
        <v>43601</v>
      </c>
      <c r="L2055" s="10">
        <v>0.41319444444444442</v>
      </c>
      <c r="M2055" t="s">
        <v>3082</v>
      </c>
      <c r="N2055" t="s">
        <v>3168</v>
      </c>
      <c r="O2055" t="s">
        <v>22</v>
      </c>
    </row>
    <row r="2056" spans="1:15" hidden="1">
      <c r="A2056" t="s">
        <v>15</v>
      </c>
      <c r="B2056" t="str">
        <f>"FES1162690087"</f>
        <v>FES1162690087</v>
      </c>
      <c r="C2056" s="9">
        <v>43600</v>
      </c>
      <c r="D2056">
        <v>1</v>
      </c>
      <c r="E2056">
        <v>2170687109</v>
      </c>
      <c r="F2056" t="s">
        <v>58</v>
      </c>
      <c r="G2056" t="s">
        <v>59</v>
      </c>
      <c r="H2056" t="s">
        <v>59</v>
      </c>
      <c r="I2056" t="s">
        <v>23</v>
      </c>
      <c r="J2056" t="s">
        <v>1225</v>
      </c>
      <c r="K2056" s="9">
        <v>43601</v>
      </c>
      <c r="L2056" s="10">
        <v>0.35902777777777778</v>
      </c>
      <c r="M2056" t="s">
        <v>1226</v>
      </c>
      <c r="N2056" t="s">
        <v>3169</v>
      </c>
      <c r="O2056" t="s">
        <v>22</v>
      </c>
    </row>
    <row r="2057" spans="1:15">
      <c r="A2057" s="6" t="s">
        <v>15</v>
      </c>
      <c r="B2057" s="6" t="str">
        <f>"FES1162690095"</f>
        <v>FES1162690095</v>
      </c>
      <c r="C2057" s="7">
        <v>43600</v>
      </c>
      <c r="D2057" s="6">
        <v>1</v>
      </c>
      <c r="E2057" s="6">
        <v>2170688177</v>
      </c>
      <c r="F2057" s="6" t="s">
        <v>16</v>
      </c>
      <c r="G2057" s="6" t="s">
        <v>17</v>
      </c>
      <c r="H2057" s="6" t="s">
        <v>17</v>
      </c>
      <c r="I2057" s="6" t="s">
        <v>23</v>
      </c>
      <c r="J2057" s="6" t="s">
        <v>2367</v>
      </c>
      <c r="K2057" s="7">
        <v>43601</v>
      </c>
      <c r="L2057" s="8">
        <v>0.36805555555555558</v>
      </c>
      <c r="M2057" s="6" t="s">
        <v>3033</v>
      </c>
      <c r="N2057" s="6" t="s">
        <v>21</v>
      </c>
      <c r="O2057" s="6" t="s">
        <v>22</v>
      </c>
    </row>
    <row r="2058" spans="1:15">
      <c r="A2058" s="6" t="s">
        <v>15</v>
      </c>
      <c r="B2058" s="6" t="str">
        <f>"FES1162689938"</f>
        <v>FES1162689938</v>
      </c>
      <c r="C2058" s="7">
        <v>43600</v>
      </c>
      <c r="D2058" s="6">
        <v>1</v>
      </c>
      <c r="E2058" s="6">
        <v>2170683324</v>
      </c>
      <c r="F2058" s="6" t="s">
        <v>16</v>
      </c>
      <c r="G2058" s="6" t="s">
        <v>17</v>
      </c>
      <c r="H2058" s="6" t="s">
        <v>17</v>
      </c>
      <c r="I2058" s="6" t="s">
        <v>103</v>
      </c>
      <c r="J2058" s="6" t="s">
        <v>3170</v>
      </c>
      <c r="K2058" s="7">
        <v>43601</v>
      </c>
      <c r="L2058" s="8">
        <v>0.45694444444444443</v>
      </c>
      <c r="M2058" s="6" t="s">
        <v>1830</v>
      </c>
      <c r="N2058" s="6" t="s">
        <v>21</v>
      </c>
      <c r="O2058" s="6" t="s">
        <v>22</v>
      </c>
    </row>
    <row r="2059" spans="1:15">
      <c r="A2059" s="6" t="s">
        <v>15</v>
      </c>
      <c r="B2059" s="6" t="str">
        <f>"FES1162690132"</f>
        <v>FES1162690132</v>
      </c>
      <c r="C2059" s="7">
        <v>43600</v>
      </c>
      <c r="D2059" s="6">
        <v>1</v>
      </c>
      <c r="E2059" s="6">
        <v>217066578</v>
      </c>
      <c r="F2059" s="6" t="s">
        <v>16</v>
      </c>
      <c r="G2059" s="6" t="s">
        <v>17</v>
      </c>
      <c r="H2059" s="6" t="s">
        <v>17</v>
      </c>
      <c r="I2059" s="6" t="s">
        <v>26</v>
      </c>
      <c r="J2059" s="6" t="s">
        <v>1383</v>
      </c>
      <c r="K2059" s="7">
        <v>43601</v>
      </c>
      <c r="L2059" s="8">
        <v>0.40486111111111112</v>
      </c>
      <c r="M2059" s="6" t="s">
        <v>3171</v>
      </c>
      <c r="N2059" s="6" t="s">
        <v>21</v>
      </c>
      <c r="O2059" s="6" t="s">
        <v>22</v>
      </c>
    </row>
    <row r="2060" spans="1:15">
      <c r="A2060" s="6" t="s">
        <v>15</v>
      </c>
      <c r="B2060" s="6" t="str">
        <f>"FES1162690040"</f>
        <v>FES1162690040</v>
      </c>
      <c r="C2060" s="7">
        <v>43600</v>
      </c>
      <c r="D2060" s="6">
        <v>1</v>
      </c>
      <c r="E2060" s="6">
        <v>2170687109</v>
      </c>
      <c r="F2060" s="6" t="s">
        <v>16</v>
      </c>
      <c r="G2060" s="6" t="s">
        <v>17</v>
      </c>
      <c r="H2060" s="6" t="s">
        <v>17</v>
      </c>
      <c r="I2060" s="6" t="s">
        <v>23</v>
      </c>
      <c r="J2060" s="6" t="s">
        <v>1225</v>
      </c>
      <c r="K2060" s="7">
        <v>43601</v>
      </c>
      <c r="L2060" s="8">
        <v>0.27986111111111112</v>
      </c>
      <c r="M2060" s="6" t="s">
        <v>1226</v>
      </c>
      <c r="N2060" s="6" t="s">
        <v>21</v>
      </c>
      <c r="O2060" s="6" t="s">
        <v>22</v>
      </c>
    </row>
    <row r="2061" spans="1:15">
      <c r="A2061" s="6" t="s">
        <v>15</v>
      </c>
      <c r="B2061" s="6" t="str">
        <f>"FES1162690077"</f>
        <v>FES1162690077</v>
      </c>
      <c r="C2061" s="7">
        <v>43600</v>
      </c>
      <c r="D2061" s="6">
        <v>1</v>
      </c>
      <c r="E2061" s="6">
        <v>2170688529</v>
      </c>
      <c r="F2061" s="6" t="s">
        <v>16</v>
      </c>
      <c r="G2061" s="6" t="s">
        <v>17</v>
      </c>
      <c r="H2061" s="6" t="s">
        <v>17</v>
      </c>
      <c r="I2061" s="6" t="s">
        <v>148</v>
      </c>
      <c r="J2061" s="6" t="s">
        <v>164</v>
      </c>
      <c r="K2061" s="7">
        <v>43601</v>
      </c>
      <c r="L2061" s="8">
        <v>0.42708333333333331</v>
      </c>
      <c r="M2061" s="6" t="s">
        <v>3172</v>
      </c>
      <c r="N2061" s="6" t="s">
        <v>21</v>
      </c>
      <c r="O2061" s="6" t="s">
        <v>22</v>
      </c>
    </row>
    <row r="2062" spans="1:15">
      <c r="A2062" s="6" t="s">
        <v>15</v>
      </c>
      <c r="B2062" s="6" t="str">
        <f>"FES1162690134"</f>
        <v>FES1162690134</v>
      </c>
      <c r="C2062" s="7">
        <v>43600</v>
      </c>
      <c r="D2062" s="6">
        <v>1</v>
      </c>
      <c r="E2062" s="6">
        <v>2170688581</v>
      </c>
      <c r="F2062" s="6" t="s">
        <v>16</v>
      </c>
      <c r="G2062" s="6" t="s">
        <v>17</v>
      </c>
      <c r="H2062" s="6" t="s">
        <v>17</v>
      </c>
      <c r="I2062" s="6" t="s">
        <v>26</v>
      </c>
      <c r="J2062" s="6" t="s">
        <v>1383</v>
      </c>
      <c r="K2062" s="7">
        <v>43601</v>
      </c>
      <c r="L2062" s="8">
        <v>0.40486111111111112</v>
      </c>
      <c r="M2062" s="6" t="s">
        <v>3171</v>
      </c>
      <c r="N2062" s="6" t="s">
        <v>21</v>
      </c>
      <c r="O2062" s="6" t="s">
        <v>22</v>
      </c>
    </row>
    <row r="2063" spans="1:15" hidden="1">
      <c r="A2063" t="s">
        <v>15</v>
      </c>
      <c r="B2063" t="str">
        <f>"FES1162690099"</f>
        <v>FES1162690099</v>
      </c>
      <c r="C2063" s="9">
        <v>43600</v>
      </c>
      <c r="D2063">
        <v>1</v>
      </c>
      <c r="E2063">
        <v>2170688550</v>
      </c>
      <c r="F2063" t="s">
        <v>16</v>
      </c>
      <c r="G2063" t="s">
        <v>17</v>
      </c>
      <c r="H2063" t="s">
        <v>290</v>
      </c>
      <c r="I2063" t="s">
        <v>291</v>
      </c>
      <c r="J2063" t="s">
        <v>1293</v>
      </c>
      <c r="K2063" s="9">
        <v>43601</v>
      </c>
      <c r="L2063" s="10">
        <v>0.36805555555555558</v>
      </c>
      <c r="M2063" t="s">
        <v>2887</v>
      </c>
      <c r="N2063" t="s">
        <v>3173</v>
      </c>
      <c r="O2063" t="s">
        <v>22</v>
      </c>
    </row>
    <row r="2064" spans="1:15">
      <c r="A2064" s="6" t="s">
        <v>15</v>
      </c>
      <c r="B2064" s="6" t="str">
        <f>"FES1162690131"</f>
        <v>FES1162690131</v>
      </c>
      <c r="C2064" s="7">
        <v>43600</v>
      </c>
      <c r="D2064" s="6">
        <v>1</v>
      </c>
      <c r="E2064" s="6">
        <v>2170688573</v>
      </c>
      <c r="F2064" s="6" t="s">
        <v>16</v>
      </c>
      <c r="G2064" s="6" t="s">
        <v>17</v>
      </c>
      <c r="H2064" s="6" t="s">
        <v>17</v>
      </c>
      <c r="I2064" s="6" t="s">
        <v>26</v>
      </c>
      <c r="J2064" s="6" t="s">
        <v>1383</v>
      </c>
      <c r="K2064" s="7">
        <v>43601</v>
      </c>
      <c r="L2064" s="8">
        <v>0.40486111111111112</v>
      </c>
      <c r="M2064" s="6" t="s">
        <v>3171</v>
      </c>
      <c r="N2064" s="6" t="s">
        <v>21</v>
      </c>
      <c r="O2064" s="6" t="s">
        <v>22</v>
      </c>
    </row>
    <row r="2065" spans="1:15">
      <c r="A2065" s="6" t="s">
        <v>15</v>
      </c>
      <c r="B2065" s="6" t="str">
        <f>"FES1162690133"</f>
        <v>FES1162690133</v>
      </c>
      <c r="C2065" s="7">
        <v>43600</v>
      </c>
      <c r="D2065" s="6">
        <v>1</v>
      </c>
      <c r="E2065" s="6">
        <v>2170688580</v>
      </c>
      <c r="F2065" s="6" t="s">
        <v>16</v>
      </c>
      <c r="G2065" s="6" t="s">
        <v>17</v>
      </c>
      <c r="H2065" s="6" t="s">
        <v>17</v>
      </c>
      <c r="I2065" s="6" t="s">
        <v>26</v>
      </c>
      <c r="J2065" s="6" t="s">
        <v>1383</v>
      </c>
      <c r="K2065" s="7">
        <v>43601</v>
      </c>
      <c r="L2065" s="8">
        <v>0.40486111111111112</v>
      </c>
      <c r="M2065" s="6" t="s">
        <v>3171</v>
      </c>
      <c r="N2065" s="6" t="s">
        <v>21</v>
      </c>
      <c r="O2065" s="6" t="s">
        <v>22</v>
      </c>
    </row>
    <row r="2066" spans="1:15" hidden="1">
      <c r="A2066" s="6" t="s">
        <v>15</v>
      </c>
      <c r="B2066" s="6" t="str">
        <f>"FES1162690135"</f>
        <v>FES1162690135</v>
      </c>
      <c r="C2066" s="7">
        <v>43600</v>
      </c>
      <c r="D2066" s="6">
        <v>1</v>
      </c>
      <c r="E2066" s="6">
        <v>2170688582</v>
      </c>
      <c r="F2066" s="6" t="s">
        <v>16</v>
      </c>
      <c r="G2066" s="6" t="s">
        <v>17</v>
      </c>
      <c r="H2066" s="6" t="s">
        <v>59</v>
      </c>
      <c r="I2066" s="6" t="s">
        <v>26</v>
      </c>
      <c r="J2066" s="6" t="s">
        <v>1383</v>
      </c>
      <c r="K2066" s="7">
        <v>43602</v>
      </c>
      <c r="L2066" s="8">
        <v>0.38194444444444442</v>
      </c>
      <c r="M2066" s="6" t="s">
        <v>1384</v>
      </c>
      <c r="N2066" s="6" t="s">
        <v>21</v>
      </c>
      <c r="O2066" s="6" t="s">
        <v>22</v>
      </c>
    </row>
    <row r="2067" spans="1:15">
      <c r="A2067" s="6" t="s">
        <v>15</v>
      </c>
      <c r="B2067" s="6" t="str">
        <f>"FES1162690076"</f>
        <v>FES1162690076</v>
      </c>
      <c r="C2067" s="7">
        <v>43600</v>
      </c>
      <c r="D2067" s="6">
        <v>1</v>
      </c>
      <c r="E2067" s="6">
        <v>2170688528</v>
      </c>
      <c r="F2067" s="6" t="s">
        <v>16</v>
      </c>
      <c r="G2067" s="6" t="s">
        <v>17</v>
      </c>
      <c r="H2067" s="6" t="s">
        <v>17</v>
      </c>
      <c r="I2067" s="6" t="s">
        <v>148</v>
      </c>
      <c r="J2067" s="6" t="s">
        <v>164</v>
      </c>
      <c r="K2067" s="7">
        <v>43601</v>
      </c>
      <c r="L2067" s="8">
        <v>0.42708333333333331</v>
      </c>
      <c r="M2067" s="6" t="s">
        <v>100</v>
      </c>
      <c r="N2067" s="6" t="s">
        <v>21</v>
      </c>
      <c r="O2067" s="6" t="s">
        <v>22</v>
      </c>
    </row>
    <row r="2068" spans="1:15">
      <c r="A2068" s="6" t="s">
        <v>15</v>
      </c>
      <c r="B2068" s="6" t="str">
        <f>"FES1162690123"</f>
        <v>FES1162690123</v>
      </c>
      <c r="C2068" s="7">
        <v>43600</v>
      </c>
      <c r="D2068" s="6">
        <v>1</v>
      </c>
      <c r="E2068" s="6">
        <v>2170688583</v>
      </c>
      <c r="F2068" s="6" t="s">
        <v>16</v>
      </c>
      <c r="G2068" s="6" t="s">
        <v>17</v>
      </c>
      <c r="H2068" s="6" t="s">
        <v>17</v>
      </c>
      <c r="I2068" s="6" t="s">
        <v>18</v>
      </c>
      <c r="J2068" s="6" t="s">
        <v>581</v>
      </c>
      <c r="K2068" s="7">
        <v>43601</v>
      </c>
      <c r="L2068" s="8">
        <v>0.64722222222222225</v>
      </c>
      <c r="M2068" s="6" t="s">
        <v>3174</v>
      </c>
      <c r="N2068" s="6" t="s">
        <v>21</v>
      </c>
      <c r="O2068" s="6" t="s">
        <v>22</v>
      </c>
    </row>
    <row r="2069" spans="1:15">
      <c r="A2069" s="6" t="s">
        <v>15</v>
      </c>
      <c r="B2069" s="6" t="str">
        <f>"FES1162690035"</f>
        <v>FES1162690035</v>
      </c>
      <c r="C2069" s="7">
        <v>43600</v>
      </c>
      <c r="D2069" s="6">
        <v>1</v>
      </c>
      <c r="E2069" s="6">
        <v>2170688492</v>
      </c>
      <c r="F2069" s="6" t="s">
        <v>16</v>
      </c>
      <c r="G2069" s="6" t="s">
        <v>17</v>
      </c>
      <c r="H2069" s="6" t="s">
        <v>17</v>
      </c>
      <c r="I2069" s="6" t="s">
        <v>64</v>
      </c>
      <c r="J2069" s="6" t="s">
        <v>116</v>
      </c>
      <c r="K2069" s="7">
        <v>43601</v>
      </c>
      <c r="L2069" s="8">
        <v>0.4375</v>
      </c>
      <c r="M2069" s="6" t="s">
        <v>2122</v>
      </c>
      <c r="N2069" s="6" t="s">
        <v>21</v>
      </c>
      <c r="O2069" s="6" t="s">
        <v>22</v>
      </c>
    </row>
    <row r="2070" spans="1:15" hidden="1">
      <c r="A2070" t="s">
        <v>15</v>
      </c>
      <c r="B2070" t="str">
        <f>"FES1162690106"</f>
        <v>FES1162690106</v>
      </c>
      <c r="C2070" s="9">
        <v>43600</v>
      </c>
      <c r="D2070">
        <v>1</v>
      </c>
      <c r="E2070">
        <v>2170688557</v>
      </c>
      <c r="F2070" t="s">
        <v>16</v>
      </c>
      <c r="G2070" t="s">
        <v>17</v>
      </c>
      <c r="H2070" t="s">
        <v>290</v>
      </c>
      <c r="I2070" t="s">
        <v>309</v>
      </c>
      <c r="J2070" t="s">
        <v>331</v>
      </c>
      <c r="K2070" s="9">
        <v>43601</v>
      </c>
      <c r="L2070" s="10">
        <v>0.37013888888888885</v>
      </c>
      <c r="M2070" t="s">
        <v>332</v>
      </c>
      <c r="N2070" t="s">
        <v>3175</v>
      </c>
      <c r="O2070" t="s">
        <v>22</v>
      </c>
    </row>
    <row r="2071" spans="1:15">
      <c r="A2071" s="6" t="s">
        <v>15</v>
      </c>
      <c r="B2071" s="6" t="str">
        <f>"FES1162690125"</f>
        <v>FES1162690125</v>
      </c>
      <c r="C2071" s="7">
        <v>43600</v>
      </c>
      <c r="D2071" s="6">
        <v>1</v>
      </c>
      <c r="E2071" s="6">
        <v>2170688572</v>
      </c>
      <c r="F2071" s="6" t="s">
        <v>16</v>
      </c>
      <c r="G2071" s="6" t="s">
        <v>17</v>
      </c>
      <c r="H2071" s="6" t="s">
        <v>17</v>
      </c>
      <c r="I2071" s="6" t="s">
        <v>26</v>
      </c>
      <c r="J2071" s="6" t="s">
        <v>1383</v>
      </c>
      <c r="K2071" s="7">
        <v>43601</v>
      </c>
      <c r="L2071" s="8">
        <v>0.33333333333333331</v>
      </c>
      <c r="M2071" s="6" t="s">
        <v>3171</v>
      </c>
      <c r="N2071" s="6" t="s">
        <v>21</v>
      </c>
      <c r="O2071" s="6" t="s">
        <v>22</v>
      </c>
    </row>
    <row r="2072" spans="1:15" hidden="1">
      <c r="A2072" t="s">
        <v>15</v>
      </c>
      <c r="B2072" t="str">
        <f>"FES1162690056"</f>
        <v>FES1162690056</v>
      </c>
      <c r="C2072" s="9">
        <v>43600</v>
      </c>
      <c r="D2072">
        <v>1</v>
      </c>
      <c r="E2072">
        <v>2170682199</v>
      </c>
      <c r="F2072" t="s">
        <v>16</v>
      </c>
      <c r="G2072" t="s">
        <v>17</v>
      </c>
      <c r="H2072" t="s">
        <v>32</v>
      </c>
      <c r="I2072" t="s">
        <v>33</v>
      </c>
      <c r="J2072" t="s">
        <v>34</v>
      </c>
      <c r="K2072" s="9">
        <v>43601</v>
      </c>
      <c r="L2072" s="10">
        <v>0.35069444444444442</v>
      </c>
      <c r="M2072" t="s">
        <v>35</v>
      </c>
      <c r="N2072" t="s">
        <v>3176</v>
      </c>
      <c r="O2072" t="s">
        <v>22</v>
      </c>
    </row>
    <row r="2073" spans="1:15" hidden="1">
      <c r="A2073" t="s">
        <v>15</v>
      </c>
      <c r="B2073" t="str">
        <f>"FES1162690059"</f>
        <v>FES1162690059</v>
      </c>
      <c r="C2073" s="9">
        <v>43600</v>
      </c>
      <c r="D2073">
        <v>1</v>
      </c>
      <c r="E2073">
        <v>2170687697</v>
      </c>
      <c r="F2073" t="s">
        <v>16</v>
      </c>
      <c r="G2073" t="s">
        <v>17</v>
      </c>
      <c r="H2073" t="s">
        <v>32</v>
      </c>
      <c r="I2073" t="s">
        <v>269</v>
      </c>
      <c r="J2073" t="s">
        <v>683</v>
      </c>
      <c r="K2073" s="9">
        <v>43601</v>
      </c>
      <c r="L2073" s="10">
        <v>0.34722222222222227</v>
      </c>
      <c r="M2073" t="s">
        <v>684</v>
      </c>
      <c r="N2073" t="s">
        <v>3177</v>
      </c>
      <c r="O2073" t="s">
        <v>22</v>
      </c>
    </row>
    <row r="2074" spans="1:15" hidden="1">
      <c r="A2074" t="s">
        <v>15</v>
      </c>
      <c r="B2074" t="str">
        <f>"FES1162690043"</f>
        <v>FES1162690043</v>
      </c>
      <c r="C2074" s="9">
        <v>43600</v>
      </c>
      <c r="D2074">
        <v>1</v>
      </c>
      <c r="E2074">
        <v>2170688153</v>
      </c>
      <c r="F2074" t="s">
        <v>16</v>
      </c>
      <c r="G2074" t="s">
        <v>17</v>
      </c>
      <c r="H2074" t="s">
        <v>43</v>
      </c>
      <c r="I2074" t="s">
        <v>44</v>
      </c>
      <c r="J2074" t="s">
        <v>336</v>
      </c>
      <c r="K2074" s="9">
        <v>43601</v>
      </c>
      <c r="L2074" s="10">
        <v>0.41666666666666669</v>
      </c>
      <c r="M2074" t="s">
        <v>2540</v>
      </c>
      <c r="N2074" t="s">
        <v>3178</v>
      </c>
      <c r="O2074" t="s">
        <v>22</v>
      </c>
    </row>
    <row r="2075" spans="1:15">
      <c r="A2075" s="6" t="s">
        <v>15</v>
      </c>
      <c r="B2075" s="6" t="str">
        <f>"FES1162690044"</f>
        <v>FES1162690044</v>
      </c>
      <c r="C2075" s="7">
        <v>43600</v>
      </c>
      <c r="D2075" s="6">
        <v>1</v>
      </c>
      <c r="E2075" s="6">
        <v>2170688496</v>
      </c>
      <c r="F2075" s="6" t="s">
        <v>16</v>
      </c>
      <c r="G2075" s="6" t="s">
        <v>17</v>
      </c>
      <c r="H2075" s="6" t="s">
        <v>17</v>
      </c>
      <c r="I2075" s="6" t="s">
        <v>23</v>
      </c>
      <c r="J2075" s="6" t="s">
        <v>70</v>
      </c>
      <c r="K2075" s="7">
        <v>43601</v>
      </c>
      <c r="L2075" s="8">
        <v>0.29722222222222222</v>
      </c>
      <c r="M2075" s="6" t="s">
        <v>2079</v>
      </c>
      <c r="N2075" s="6" t="s">
        <v>21</v>
      </c>
      <c r="O2075" s="6" t="s">
        <v>22</v>
      </c>
    </row>
    <row r="2076" spans="1:15" hidden="1">
      <c r="A2076" t="s">
        <v>15</v>
      </c>
      <c r="B2076" t="str">
        <f>"FES1162690127"</f>
        <v>FES1162690127</v>
      </c>
      <c r="C2076" s="9">
        <v>43600</v>
      </c>
      <c r="D2076">
        <v>1</v>
      </c>
      <c r="E2076">
        <v>2170688575</v>
      </c>
      <c r="F2076" t="s">
        <v>16</v>
      </c>
      <c r="G2076" t="s">
        <v>17</v>
      </c>
      <c r="H2076" t="s">
        <v>43</v>
      </c>
      <c r="I2076" t="s">
        <v>2943</v>
      </c>
      <c r="J2076" t="s">
        <v>2944</v>
      </c>
      <c r="K2076" s="9">
        <v>43601</v>
      </c>
      <c r="L2076" s="10">
        <v>0.4916666666666667</v>
      </c>
      <c r="M2076" t="s">
        <v>2945</v>
      </c>
      <c r="N2076" t="s">
        <v>3179</v>
      </c>
      <c r="O2076" t="s">
        <v>22</v>
      </c>
    </row>
    <row r="2077" spans="1:15" hidden="1">
      <c r="A2077" t="s">
        <v>15</v>
      </c>
      <c r="B2077" t="str">
        <f>"FES1162690144"</f>
        <v>FES1162690144</v>
      </c>
      <c r="C2077" s="9">
        <v>43600</v>
      </c>
      <c r="D2077">
        <v>1</v>
      </c>
      <c r="E2077">
        <v>2170688597</v>
      </c>
      <c r="F2077" t="s">
        <v>16</v>
      </c>
      <c r="G2077" t="s">
        <v>17</v>
      </c>
      <c r="H2077" t="s">
        <v>141</v>
      </c>
      <c r="I2077" t="s">
        <v>142</v>
      </c>
      <c r="J2077" t="s">
        <v>880</v>
      </c>
      <c r="K2077" s="9">
        <v>43601</v>
      </c>
      <c r="L2077" s="10">
        <v>0.40277777777777773</v>
      </c>
      <c r="M2077" t="s">
        <v>3180</v>
      </c>
      <c r="N2077" t="s">
        <v>3181</v>
      </c>
      <c r="O2077" t="s">
        <v>22</v>
      </c>
    </row>
    <row r="2078" spans="1:15">
      <c r="A2078" s="6" t="s">
        <v>15</v>
      </c>
      <c r="B2078" s="6" t="str">
        <f>"FES1162690019"</f>
        <v>FES1162690019</v>
      </c>
      <c r="C2078" s="7">
        <v>43600</v>
      </c>
      <c r="D2078" s="6">
        <v>1</v>
      </c>
      <c r="E2078" s="6">
        <v>2170688474</v>
      </c>
      <c r="F2078" s="6" t="s">
        <v>16</v>
      </c>
      <c r="G2078" s="6" t="s">
        <v>17</v>
      </c>
      <c r="H2078" s="6" t="s">
        <v>17</v>
      </c>
      <c r="I2078" s="6" t="s">
        <v>103</v>
      </c>
      <c r="J2078" s="6" t="s">
        <v>1493</v>
      </c>
      <c r="K2078" s="7">
        <v>43601</v>
      </c>
      <c r="L2078" s="8">
        <v>0.36874999999999997</v>
      </c>
      <c r="M2078" s="6" t="s">
        <v>3182</v>
      </c>
      <c r="N2078" s="6" t="s">
        <v>21</v>
      </c>
      <c r="O2078" s="6" t="s">
        <v>22</v>
      </c>
    </row>
    <row r="2079" spans="1:15">
      <c r="A2079" s="6" t="s">
        <v>15</v>
      </c>
      <c r="B2079" s="6" t="str">
        <f>"FES1162690060"</f>
        <v>FES1162690060</v>
      </c>
      <c r="C2079" s="7">
        <v>43600</v>
      </c>
      <c r="D2079" s="6">
        <v>1</v>
      </c>
      <c r="E2079" s="6">
        <v>2170687736</v>
      </c>
      <c r="F2079" s="6" t="s">
        <v>16</v>
      </c>
      <c r="G2079" s="6" t="s">
        <v>17</v>
      </c>
      <c r="H2079" s="6" t="s">
        <v>17</v>
      </c>
      <c r="I2079" s="6" t="s">
        <v>18</v>
      </c>
      <c r="J2079" s="6" t="s">
        <v>19</v>
      </c>
      <c r="K2079" s="7">
        <v>43601</v>
      </c>
      <c r="L2079" s="8">
        <v>0.4201388888888889</v>
      </c>
      <c r="M2079" s="6" t="s">
        <v>1327</v>
      </c>
      <c r="N2079" s="6" t="s">
        <v>21</v>
      </c>
      <c r="O2079" s="6" t="s">
        <v>22</v>
      </c>
    </row>
    <row r="2080" spans="1:15" hidden="1">
      <c r="A2080" t="s">
        <v>15</v>
      </c>
      <c r="B2080" t="str">
        <f>"FES1162690147"</f>
        <v>FES1162690147</v>
      </c>
      <c r="C2080" s="9">
        <v>43600</v>
      </c>
      <c r="D2080">
        <v>1</v>
      </c>
      <c r="E2080">
        <v>2170685899</v>
      </c>
      <c r="F2080" t="s">
        <v>16</v>
      </c>
      <c r="G2080" t="s">
        <v>17</v>
      </c>
      <c r="H2080" t="s">
        <v>290</v>
      </c>
      <c r="I2080" t="s">
        <v>316</v>
      </c>
      <c r="J2080" t="s">
        <v>317</v>
      </c>
      <c r="K2080" s="9">
        <v>43601</v>
      </c>
      <c r="L2080" s="10">
        <v>0.49722222222222223</v>
      </c>
      <c r="M2080" t="s">
        <v>3183</v>
      </c>
      <c r="N2080" t="s">
        <v>3184</v>
      </c>
      <c r="O2080" t="s">
        <v>22</v>
      </c>
    </row>
    <row r="2081" spans="1:15" hidden="1">
      <c r="A2081" t="s">
        <v>15</v>
      </c>
      <c r="B2081" t="str">
        <f>"FES1162690110"</f>
        <v>FES1162690110</v>
      </c>
      <c r="C2081" s="9">
        <v>43600</v>
      </c>
      <c r="D2081">
        <v>1</v>
      </c>
      <c r="E2081">
        <v>2170688560</v>
      </c>
      <c r="F2081" t="s">
        <v>16</v>
      </c>
      <c r="G2081" t="s">
        <v>17</v>
      </c>
      <c r="H2081" t="s">
        <v>32</v>
      </c>
      <c r="I2081" t="s">
        <v>33</v>
      </c>
      <c r="J2081" t="s">
        <v>3185</v>
      </c>
      <c r="K2081" s="9">
        <v>43601</v>
      </c>
      <c r="L2081" s="10">
        <v>0.34722222222222227</v>
      </c>
      <c r="M2081" t="s">
        <v>3186</v>
      </c>
      <c r="N2081" t="s">
        <v>3187</v>
      </c>
      <c r="O2081" t="s">
        <v>22</v>
      </c>
    </row>
    <row r="2082" spans="1:15" hidden="1">
      <c r="A2082" t="s">
        <v>15</v>
      </c>
      <c r="B2082" t="str">
        <f>"FES1162690136"</f>
        <v>FES1162690136</v>
      </c>
      <c r="C2082" s="9">
        <v>43600</v>
      </c>
      <c r="D2082">
        <v>1</v>
      </c>
      <c r="E2082">
        <v>2170688585</v>
      </c>
      <c r="F2082" t="s">
        <v>16</v>
      </c>
      <c r="G2082" t="s">
        <v>17</v>
      </c>
      <c r="H2082" t="s">
        <v>300</v>
      </c>
      <c r="I2082" t="s">
        <v>301</v>
      </c>
      <c r="J2082" t="s">
        <v>3188</v>
      </c>
      <c r="K2082" s="9">
        <v>43601</v>
      </c>
      <c r="L2082" s="10">
        <v>0.3923611111111111</v>
      </c>
      <c r="M2082" t="s">
        <v>3189</v>
      </c>
      <c r="N2082" t="s">
        <v>3190</v>
      </c>
      <c r="O2082" t="s">
        <v>22</v>
      </c>
    </row>
    <row r="2083" spans="1:15" hidden="1">
      <c r="A2083" t="s">
        <v>15</v>
      </c>
      <c r="B2083" t="str">
        <f>"FES1162690149"</f>
        <v>FES1162690149</v>
      </c>
      <c r="C2083" s="9">
        <v>43600</v>
      </c>
      <c r="D2083">
        <v>1</v>
      </c>
      <c r="E2083">
        <v>2170688229</v>
      </c>
      <c r="F2083" t="s">
        <v>16</v>
      </c>
      <c r="G2083" t="s">
        <v>17</v>
      </c>
      <c r="H2083" t="s">
        <v>141</v>
      </c>
      <c r="I2083" t="s">
        <v>142</v>
      </c>
      <c r="J2083" t="s">
        <v>976</v>
      </c>
      <c r="K2083" s="9">
        <v>43601</v>
      </c>
      <c r="L2083" s="10">
        <v>0.4069444444444445</v>
      </c>
      <c r="M2083" t="s">
        <v>3075</v>
      </c>
      <c r="N2083" t="s">
        <v>3191</v>
      </c>
      <c r="O2083" t="s">
        <v>22</v>
      </c>
    </row>
    <row r="2084" spans="1:15" hidden="1">
      <c r="A2084" t="s">
        <v>15</v>
      </c>
      <c r="B2084" t="str">
        <f>"FES1162690124"</f>
        <v>FES1162690124</v>
      </c>
      <c r="C2084" s="9">
        <v>43600</v>
      </c>
      <c r="D2084">
        <v>1</v>
      </c>
      <c r="E2084">
        <v>2170688014</v>
      </c>
      <c r="F2084" t="s">
        <v>58</v>
      </c>
      <c r="G2084" t="s">
        <v>59</v>
      </c>
      <c r="H2084" t="s">
        <v>141</v>
      </c>
      <c r="I2084" t="s">
        <v>142</v>
      </c>
      <c r="J2084" t="s">
        <v>976</v>
      </c>
      <c r="K2084" s="9">
        <v>43601</v>
      </c>
      <c r="L2084" s="10">
        <v>0.64583333333333337</v>
      </c>
      <c r="M2084" t="s">
        <v>1019</v>
      </c>
      <c r="N2084" t="s">
        <v>3192</v>
      </c>
      <c r="O2084" t="s">
        <v>22</v>
      </c>
    </row>
    <row r="2085" spans="1:15" hidden="1">
      <c r="A2085" t="s">
        <v>15</v>
      </c>
      <c r="B2085" t="str">
        <f>"FES1162690109"</f>
        <v>FES1162690109</v>
      </c>
      <c r="C2085" s="9">
        <v>43600</v>
      </c>
      <c r="D2085">
        <v>2</v>
      </c>
      <c r="E2085">
        <v>2170685652</v>
      </c>
      <c r="F2085" t="s">
        <v>58</v>
      </c>
      <c r="G2085" t="s">
        <v>59</v>
      </c>
      <c r="H2085" t="s">
        <v>59</v>
      </c>
      <c r="I2085" t="s">
        <v>18</v>
      </c>
      <c r="J2085" t="s">
        <v>89</v>
      </c>
      <c r="K2085" s="9">
        <v>43601</v>
      </c>
      <c r="L2085" s="10">
        <v>0.3611111111111111</v>
      </c>
      <c r="M2085" t="s">
        <v>3193</v>
      </c>
      <c r="N2085" t="s">
        <v>3194</v>
      </c>
      <c r="O2085" t="s">
        <v>22</v>
      </c>
    </row>
    <row r="2086" spans="1:15" hidden="1">
      <c r="A2086" t="s">
        <v>15</v>
      </c>
      <c r="B2086" t="str">
        <f>"FES1162690145"</f>
        <v>FES1162690145</v>
      </c>
      <c r="C2086" s="9">
        <v>43600</v>
      </c>
      <c r="D2086">
        <v>1</v>
      </c>
      <c r="E2086">
        <v>2170688599</v>
      </c>
      <c r="F2086" t="s">
        <v>16</v>
      </c>
      <c r="G2086" t="s">
        <v>17</v>
      </c>
      <c r="H2086" t="s">
        <v>32</v>
      </c>
      <c r="I2086" t="s">
        <v>342</v>
      </c>
      <c r="J2086" t="s">
        <v>549</v>
      </c>
      <c r="K2086" s="9">
        <v>43601</v>
      </c>
      <c r="L2086" s="10">
        <v>0.52777777777777779</v>
      </c>
      <c r="M2086" t="s">
        <v>3195</v>
      </c>
      <c r="N2086" t="s">
        <v>3196</v>
      </c>
      <c r="O2086" t="s">
        <v>22</v>
      </c>
    </row>
    <row r="2087" spans="1:15" hidden="1">
      <c r="A2087" t="s">
        <v>15</v>
      </c>
      <c r="B2087" t="str">
        <f>"FES1162690112"</f>
        <v>FES1162690112</v>
      </c>
      <c r="C2087" s="9">
        <v>43600</v>
      </c>
      <c r="D2087">
        <v>1</v>
      </c>
      <c r="E2087">
        <v>2170688562</v>
      </c>
      <c r="F2087" t="s">
        <v>16</v>
      </c>
      <c r="G2087" t="s">
        <v>17</v>
      </c>
      <c r="H2087" t="s">
        <v>43</v>
      </c>
      <c r="I2087" t="s">
        <v>738</v>
      </c>
      <c r="J2087" t="s">
        <v>339</v>
      </c>
      <c r="K2087" s="9">
        <v>43601</v>
      </c>
      <c r="L2087" s="10">
        <v>0.41666666666666669</v>
      </c>
      <c r="M2087" t="s">
        <v>1483</v>
      </c>
      <c r="N2087" t="s">
        <v>3197</v>
      </c>
      <c r="O2087" t="s">
        <v>22</v>
      </c>
    </row>
    <row r="2088" spans="1:15" hidden="1">
      <c r="A2088" t="s">
        <v>15</v>
      </c>
      <c r="B2088" t="str">
        <f>"FES1162690146"</f>
        <v>FES1162690146</v>
      </c>
      <c r="C2088" s="9">
        <v>43600</v>
      </c>
      <c r="D2088">
        <v>1</v>
      </c>
      <c r="E2088">
        <v>2170688600</v>
      </c>
      <c r="F2088" t="s">
        <v>16</v>
      </c>
      <c r="G2088" t="s">
        <v>17</v>
      </c>
      <c r="H2088" t="s">
        <v>300</v>
      </c>
      <c r="I2088" t="s">
        <v>301</v>
      </c>
      <c r="J2088" t="s">
        <v>506</v>
      </c>
      <c r="K2088" s="9">
        <v>43601</v>
      </c>
      <c r="L2088" s="10">
        <v>0.39166666666666666</v>
      </c>
      <c r="M2088" t="s">
        <v>507</v>
      </c>
      <c r="N2088" t="s">
        <v>3198</v>
      </c>
      <c r="O2088" t="s">
        <v>22</v>
      </c>
    </row>
    <row r="2089" spans="1:15" hidden="1">
      <c r="A2089" t="s">
        <v>15</v>
      </c>
      <c r="B2089" t="str">
        <f>"FES1162690114"</f>
        <v>FES1162690114</v>
      </c>
      <c r="C2089" s="9">
        <v>43600</v>
      </c>
      <c r="D2089">
        <v>1</v>
      </c>
      <c r="E2089">
        <v>2170688565</v>
      </c>
      <c r="F2089" t="s">
        <v>16</v>
      </c>
      <c r="G2089" t="s">
        <v>17</v>
      </c>
      <c r="H2089" t="s">
        <v>43</v>
      </c>
      <c r="I2089" t="s">
        <v>44</v>
      </c>
      <c r="J2089" t="s">
        <v>48</v>
      </c>
      <c r="K2089" s="9">
        <v>43601</v>
      </c>
      <c r="L2089" s="10">
        <v>0.31111111111111112</v>
      </c>
      <c r="M2089" t="s">
        <v>2978</v>
      </c>
      <c r="N2089" t="s">
        <v>3199</v>
      </c>
      <c r="O2089" t="s">
        <v>22</v>
      </c>
    </row>
    <row r="2090" spans="1:15">
      <c r="A2090" s="6" t="s">
        <v>15</v>
      </c>
      <c r="B2090" s="6" t="str">
        <f>"FES1162690139"</f>
        <v>FES1162690139</v>
      </c>
      <c r="C2090" s="7">
        <v>43600</v>
      </c>
      <c r="D2090" s="6">
        <v>1</v>
      </c>
      <c r="E2090" s="6">
        <v>2170688438</v>
      </c>
      <c r="F2090" s="6" t="s">
        <v>16</v>
      </c>
      <c r="G2090" s="6" t="s">
        <v>17</v>
      </c>
      <c r="H2090" s="6" t="s">
        <v>17</v>
      </c>
      <c r="I2090" s="6" t="s">
        <v>18</v>
      </c>
      <c r="J2090" s="6" t="s">
        <v>2032</v>
      </c>
      <c r="K2090" s="7">
        <v>43601</v>
      </c>
      <c r="L2090" s="8">
        <v>0.40277777777777773</v>
      </c>
      <c r="M2090" s="6" t="s">
        <v>66</v>
      </c>
      <c r="N2090" s="6" t="s">
        <v>21</v>
      </c>
      <c r="O2090" s="6" t="s">
        <v>22</v>
      </c>
    </row>
    <row r="2091" spans="1:15" hidden="1">
      <c r="A2091" t="s">
        <v>15</v>
      </c>
      <c r="B2091" t="str">
        <f>"FES1162690039"</f>
        <v>FES1162690039</v>
      </c>
      <c r="C2091" s="9">
        <v>43600</v>
      </c>
      <c r="D2091">
        <v>1</v>
      </c>
      <c r="E2091">
        <v>2170682812</v>
      </c>
      <c r="F2091" t="s">
        <v>16</v>
      </c>
      <c r="G2091" t="s">
        <v>17</v>
      </c>
      <c r="H2091" t="s">
        <v>43</v>
      </c>
      <c r="I2091" t="s">
        <v>44</v>
      </c>
      <c r="J2091" t="s">
        <v>642</v>
      </c>
      <c r="K2091" s="9">
        <v>43601</v>
      </c>
      <c r="L2091" s="10">
        <v>0.36388888888888887</v>
      </c>
      <c r="M2091" t="s">
        <v>643</v>
      </c>
      <c r="N2091" t="s">
        <v>3200</v>
      </c>
      <c r="O2091" t="s">
        <v>22</v>
      </c>
    </row>
    <row r="2092" spans="1:15" hidden="1">
      <c r="A2092" t="s">
        <v>15</v>
      </c>
      <c r="B2092" t="str">
        <f>"FES1162690140"</f>
        <v>FES1162690140</v>
      </c>
      <c r="C2092" s="9">
        <v>43600</v>
      </c>
      <c r="D2092">
        <v>1</v>
      </c>
      <c r="E2092">
        <v>2170688593</v>
      </c>
      <c r="F2092" t="s">
        <v>16</v>
      </c>
      <c r="G2092" t="s">
        <v>17</v>
      </c>
      <c r="H2092" t="s">
        <v>141</v>
      </c>
      <c r="I2092" t="s">
        <v>1921</v>
      </c>
      <c r="J2092" t="s">
        <v>1922</v>
      </c>
      <c r="K2092" s="9">
        <v>43601</v>
      </c>
      <c r="L2092" s="10">
        <v>0.36458333333333331</v>
      </c>
      <c r="M2092" t="s">
        <v>3201</v>
      </c>
      <c r="N2092" t="s">
        <v>3202</v>
      </c>
      <c r="O2092" t="s">
        <v>22</v>
      </c>
    </row>
    <row r="2093" spans="1:15" hidden="1">
      <c r="A2093" t="s">
        <v>15</v>
      </c>
      <c r="B2093" t="str">
        <f>"FES1162690061"</f>
        <v>FES1162690061</v>
      </c>
      <c r="C2093" s="9">
        <v>43600</v>
      </c>
      <c r="D2093">
        <v>1</v>
      </c>
      <c r="E2093">
        <v>2170687822</v>
      </c>
      <c r="F2093" t="s">
        <v>16</v>
      </c>
      <c r="G2093" t="s">
        <v>17</v>
      </c>
      <c r="H2093" t="s">
        <v>43</v>
      </c>
      <c r="I2093" t="s">
        <v>75</v>
      </c>
      <c r="J2093" t="s">
        <v>2472</v>
      </c>
      <c r="K2093" s="9">
        <v>43601</v>
      </c>
      <c r="L2093" s="10">
        <v>0.46527777777777773</v>
      </c>
      <c r="M2093" t="s">
        <v>2473</v>
      </c>
      <c r="N2093" t="s">
        <v>3203</v>
      </c>
      <c r="O2093" t="s">
        <v>22</v>
      </c>
    </row>
    <row r="2094" spans="1:15" hidden="1">
      <c r="A2094" t="s">
        <v>15</v>
      </c>
      <c r="B2094" t="str">
        <f>"FES1162690137"</f>
        <v>FES1162690137</v>
      </c>
      <c r="C2094" s="9">
        <v>43600</v>
      </c>
      <c r="D2094">
        <v>1</v>
      </c>
      <c r="E2094">
        <v>2170688592</v>
      </c>
      <c r="F2094" t="s">
        <v>16</v>
      </c>
      <c r="G2094" t="s">
        <v>17</v>
      </c>
      <c r="H2094" t="s">
        <v>141</v>
      </c>
      <c r="I2094" t="s">
        <v>142</v>
      </c>
      <c r="J2094" t="s">
        <v>880</v>
      </c>
      <c r="K2094" s="9">
        <v>43601</v>
      </c>
      <c r="L2094" s="10">
        <v>0.40277777777777773</v>
      </c>
      <c r="M2094" t="s">
        <v>3180</v>
      </c>
      <c r="N2094" t="s">
        <v>3204</v>
      </c>
      <c r="O2094" t="s">
        <v>22</v>
      </c>
    </row>
    <row r="2095" spans="1:15">
      <c r="A2095" s="6" t="s">
        <v>15</v>
      </c>
      <c r="B2095" s="6" t="str">
        <f>"FES1162690111"</f>
        <v>FES1162690111</v>
      </c>
      <c r="C2095" s="7">
        <v>43600</v>
      </c>
      <c r="D2095" s="6">
        <v>1</v>
      </c>
      <c r="E2095" s="6">
        <v>2170688561</v>
      </c>
      <c r="F2095" s="6" t="s">
        <v>16</v>
      </c>
      <c r="G2095" s="6" t="s">
        <v>17</v>
      </c>
      <c r="H2095" s="6" t="s">
        <v>17</v>
      </c>
      <c r="I2095" s="6" t="s">
        <v>414</v>
      </c>
      <c r="J2095" s="6" t="s">
        <v>3205</v>
      </c>
      <c r="K2095" s="7">
        <v>43601</v>
      </c>
      <c r="L2095" s="8">
        <v>0.33333333333333331</v>
      </c>
      <c r="M2095" s="6" t="s">
        <v>3206</v>
      </c>
      <c r="N2095" s="6" t="s">
        <v>21</v>
      </c>
      <c r="O2095" s="6" t="s">
        <v>22</v>
      </c>
    </row>
    <row r="2096" spans="1:15" hidden="1">
      <c r="A2096" t="s">
        <v>15</v>
      </c>
      <c r="B2096" t="str">
        <f>"FES1162690138"</f>
        <v>FES1162690138</v>
      </c>
      <c r="C2096" s="9">
        <v>43600</v>
      </c>
      <c r="D2096">
        <v>1</v>
      </c>
      <c r="E2096">
        <v>2170687978</v>
      </c>
      <c r="F2096" t="s">
        <v>16</v>
      </c>
      <c r="G2096" t="s">
        <v>17</v>
      </c>
      <c r="H2096" t="s">
        <v>141</v>
      </c>
      <c r="I2096" t="s">
        <v>142</v>
      </c>
      <c r="J2096" t="s">
        <v>1380</v>
      </c>
      <c r="K2096" s="9">
        <v>43601</v>
      </c>
      <c r="L2096" s="10">
        <v>0.38194444444444442</v>
      </c>
      <c r="M2096" t="s">
        <v>3004</v>
      </c>
      <c r="N2096" t="s">
        <v>3207</v>
      </c>
      <c r="O2096" t="s">
        <v>22</v>
      </c>
    </row>
    <row r="2097" spans="1:15" hidden="1">
      <c r="A2097" t="s">
        <v>15</v>
      </c>
      <c r="B2097" t="str">
        <f>"FES1162690141"</f>
        <v>FES1162690141</v>
      </c>
      <c r="C2097" s="9">
        <v>43600</v>
      </c>
      <c r="D2097">
        <v>1</v>
      </c>
      <c r="E2097">
        <v>2170688594</v>
      </c>
      <c r="F2097" t="s">
        <v>16</v>
      </c>
      <c r="G2097" t="s">
        <v>17</v>
      </c>
      <c r="H2097" t="s">
        <v>141</v>
      </c>
      <c r="I2097" t="s">
        <v>142</v>
      </c>
      <c r="J2097" t="s">
        <v>880</v>
      </c>
      <c r="K2097" s="9">
        <v>43601</v>
      </c>
      <c r="L2097" s="10">
        <v>0.40277777777777773</v>
      </c>
      <c r="M2097" t="s">
        <v>3180</v>
      </c>
      <c r="N2097" t="s">
        <v>3208</v>
      </c>
      <c r="O2097" t="s">
        <v>22</v>
      </c>
    </row>
    <row r="2098" spans="1:15" hidden="1">
      <c r="A2098" t="s">
        <v>15</v>
      </c>
      <c r="B2098" t="str">
        <f>"FES1162690122"</f>
        <v>FES1162690122</v>
      </c>
      <c r="C2098" s="9">
        <v>43600</v>
      </c>
      <c r="D2098">
        <v>1</v>
      </c>
      <c r="E2098">
        <v>2170688577</v>
      </c>
      <c r="F2098" t="s">
        <v>16</v>
      </c>
      <c r="G2098" t="s">
        <v>17</v>
      </c>
      <c r="H2098" t="s">
        <v>43</v>
      </c>
      <c r="I2098" t="s">
        <v>44</v>
      </c>
      <c r="J2098" t="s">
        <v>1022</v>
      </c>
      <c r="K2098" s="9">
        <v>43601</v>
      </c>
      <c r="L2098" s="10">
        <v>0.41666666666666669</v>
      </c>
      <c r="M2098" t="s">
        <v>3120</v>
      </c>
      <c r="N2098" t="s">
        <v>3209</v>
      </c>
      <c r="O2098" t="s">
        <v>22</v>
      </c>
    </row>
    <row r="2099" spans="1:15">
      <c r="A2099" s="6" t="s">
        <v>15</v>
      </c>
      <c r="B2099" s="6" t="str">
        <f>"FES1162690126"</f>
        <v>FES1162690126</v>
      </c>
      <c r="C2099" s="7">
        <v>43600</v>
      </c>
      <c r="D2099" s="6">
        <v>1</v>
      </c>
      <c r="E2099" s="6">
        <v>2170688574</v>
      </c>
      <c r="F2099" s="6" t="s">
        <v>16</v>
      </c>
      <c r="G2099" s="6" t="s">
        <v>17</v>
      </c>
      <c r="H2099" s="6" t="s">
        <v>17</v>
      </c>
      <c r="I2099" s="6" t="s">
        <v>421</v>
      </c>
      <c r="J2099" s="6" t="s">
        <v>885</v>
      </c>
      <c r="K2099" s="7">
        <v>43601</v>
      </c>
      <c r="L2099" s="8">
        <v>0.33333333333333331</v>
      </c>
      <c r="M2099" s="6" t="s">
        <v>3210</v>
      </c>
      <c r="N2099" s="6" t="s">
        <v>21</v>
      </c>
      <c r="O2099" s="6" t="s">
        <v>22</v>
      </c>
    </row>
    <row r="2100" spans="1:15">
      <c r="A2100" s="6" t="s">
        <v>15</v>
      </c>
      <c r="B2100" s="6" t="str">
        <f>"FES1162689571"</f>
        <v>FES1162689571</v>
      </c>
      <c r="C2100" s="7">
        <v>43600</v>
      </c>
      <c r="D2100" s="6">
        <v>1</v>
      </c>
      <c r="E2100" s="6">
        <v>2170685757</v>
      </c>
      <c r="F2100" s="6" t="s">
        <v>16</v>
      </c>
      <c r="G2100" s="6" t="s">
        <v>17</v>
      </c>
      <c r="H2100" s="6" t="s">
        <v>17</v>
      </c>
      <c r="I2100" s="6" t="s">
        <v>23</v>
      </c>
      <c r="J2100" s="6" t="s">
        <v>106</v>
      </c>
      <c r="K2100" s="7">
        <v>43601</v>
      </c>
      <c r="L2100" s="8">
        <v>0.36805555555555558</v>
      </c>
      <c r="M2100" s="6" t="s">
        <v>1082</v>
      </c>
      <c r="N2100" s="6" t="s">
        <v>21</v>
      </c>
      <c r="O2100" s="6" t="s">
        <v>22</v>
      </c>
    </row>
    <row r="2101" spans="1:15" hidden="1">
      <c r="A2101" t="s">
        <v>15</v>
      </c>
      <c r="B2101" t="str">
        <f>"FES1162690150"</f>
        <v>FES1162690150</v>
      </c>
      <c r="C2101" s="9">
        <v>43600</v>
      </c>
      <c r="D2101">
        <v>1</v>
      </c>
      <c r="E2101">
        <v>2170678027</v>
      </c>
      <c r="F2101" t="s">
        <v>16</v>
      </c>
      <c r="G2101" t="s">
        <v>17</v>
      </c>
      <c r="H2101" t="s">
        <v>43</v>
      </c>
      <c r="I2101" t="s">
        <v>44</v>
      </c>
      <c r="J2101" t="s">
        <v>742</v>
      </c>
      <c r="K2101" s="9">
        <v>43601</v>
      </c>
      <c r="L2101" s="10">
        <v>0.4513888888888889</v>
      </c>
      <c r="M2101" t="s">
        <v>3211</v>
      </c>
      <c r="N2101" t="s">
        <v>3212</v>
      </c>
      <c r="O2101" t="s">
        <v>22</v>
      </c>
    </row>
    <row r="2102" spans="1:15" ht="15.75" thickBot="1">
      <c r="A2102" s="11" t="s">
        <v>15</v>
      </c>
      <c r="B2102" s="11" t="str">
        <f>"029908346761"</f>
        <v>029908346761</v>
      </c>
      <c r="C2102" s="12">
        <v>43600</v>
      </c>
      <c r="D2102" s="11">
        <v>1</v>
      </c>
      <c r="E2102" s="11" t="s">
        <v>1060</v>
      </c>
      <c r="F2102" s="11" t="s">
        <v>16</v>
      </c>
      <c r="G2102" s="11" t="s">
        <v>141</v>
      </c>
      <c r="H2102" s="11" t="s">
        <v>17</v>
      </c>
      <c r="I2102" s="11" t="s">
        <v>64</v>
      </c>
      <c r="J2102" s="11" t="s">
        <v>1061</v>
      </c>
      <c r="K2102" s="12">
        <v>43601</v>
      </c>
      <c r="L2102" s="13">
        <v>0.35416666666666669</v>
      </c>
      <c r="M2102" s="11" t="s">
        <v>2792</v>
      </c>
      <c r="N2102" s="11" t="s">
        <v>21</v>
      </c>
      <c r="O2102" s="11" t="s">
        <v>22</v>
      </c>
    </row>
    <row r="2103" spans="1:15" hidden="1">
      <c r="A2103" t="s">
        <v>15</v>
      </c>
      <c r="B2103" t="str">
        <f>"FES1162690226"</f>
        <v>FES1162690226</v>
      </c>
      <c r="C2103" s="9">
        <v>43601</v>
      </c>
      <c r="D2103">
        <v>1</v>
      </c>
      <c r="E2103">
        <v>2170685746</v>
      </c>
      <c r="F2103" t="s">
        <v>16</v>
      </c>
      <c r="G2103" t="s">
        <v>17</v>
      </c>
      <c r="H2103" t="s">
        <v>141</v>
      </c>
      <c r="I2103" t="s">
        <v>142</v>
      </c>
      <c r="J2103" t="s">
        <v>228</v>
      </c>
      <c r="K2103" s="9">
        <v>43602</v>
      </c>
      <c r="L2103" s="10">
        <v>0.38680555555555557</v>
      </c>
      <c r="M2103" t="s">
        <v>229</v>
      </c>
      <c r="N2103" t="s">
        <v>3213</v>
      </c>
      <c r="O2103" t="s">
        <v>22</v>
      </c>
    </row>
    <row r="2104" spans="1:15" hidden="1">
      <c r="A2104" t="s">
        <v>15</v>
      </c>
      <c r="B2104" t="str">
        <f>"FES1162690235"</f>
        <v>FES1162690235</v>
      </c>
      <c r="C2104" s="9">
        <v>43601</v>
      </c>
      <c r="D2104">
        <v>1</v>
      </c>
      <c r="E2104">
        <v>2170687346</v>
      </c>
      <c r="F2104" t="s">
        <v>16</v>
      </c>
      <c r="G2104" t="s">
        <v>17</v>
      </c>
      <c r="H2104" t="s">
        <v>32</v>
      </c>
      <c r="I2104" t="s">
        <v>33</v>
      </c>
      <c r="J2104" t="s">
        <v>284</v>
      </c>
      <c r="K2104" s="9">
        <v>43602</v>
      </c>
      <c r="L2104" s="10">
        <v>0.4201388888888889</v>
      </c>
      <c r="M2104" t="s">
        <v>2072</v>
      </c>
      <c r="N2104" t="s">
        <v>3214</v>
      </c>
      <c r="O2104" t="s">
        <v>22</v>
      </c>
    </row>
    <row r="2105" spans="1:15" hidden="1">
      <c r="A2105" t="s">
        <v>15</v>
      </c>
      <c r="B2105" t="str">
        <f>"FES1162690174"</f>
        <v>FES1162690174</v>
      </c>
      <c r="C2105" s="9">
        <v>43601</v>
      </c>
      <c r="D2105">
        <v>1</v>
      </c>
      <c r="E2105">
        <v>2170688305</v>
      </c>
      <c r="F2105" t="s">
        <v>16</v>
      </c>
      <c r="G2105" t="s">
        <v>17</v>
      </c>
      <c r="H2105" t="s">
        <v>37</v>
      </c>
      <c r="I2105" t="s">
        <v>38</v>
      </c>
      <c r="J2105" t="s">
        <v>39</v>
      </c>
      <c r="K2105" s="9">
        <v>43602</v>
      </c>
      <c r="L2105" s="10">
        <v>0.37152777777777773</v>
      </c>
      <c r="M2105" t="s">
        <v>40</v>
      </c>
      <c r="N2105" t="s">
        <v>3215</v>
      </c>
      <c r="O2105" t="s">
        <v>22</v>
      </c>
    </row>
    <row r="2106" spans="1:15">
      <c r="A2106" s="6" t="s">
        <v>15</v>
      </c>
      <c r="B2106" s="6" t="str">
        <f>"FES1162690167"</f>
        <v>FES1162690167</v>
      </c>
      <c r="C2106" s="7">
        <v>43601</v>
      </c>
      <c r="D2106" s="6">
        <v>1</v>
      </c>
      <c r="E2106" s="6">
        <v>2170687378</v>
      </c>
      <c r="F2106" s="6" t="s">
        <v>16</v>
      </c>
      <c r="G2106" s="6" t="s">
        <v>17</v>
      </c>
      <c r="H2106" s="6" t="s">
        <v>17</v>
      </c>
      <c r="I2106" s="6" t="s">
        <v>103</v>
      </c>
      <c r="J2106" s="6" t="s">
        <v>3216</v>
      </c>
      <c r="K2106" s="7">
        <v>43602</v>
      </c>
      <c r="L2106" s="8">
        <v>0.31944444444444448</v>
      </c>
      <c r="M2106" s="6" t="s">
        <v>3217</v>
      </c>
      <c r="N2106" s="6" t="s">
        <v>21</v>
      </c>
      <c r="O2106" s="6" t="s">
        <v>22</v>
      </c>
    </row>
    <row r="2107" spans="1:15" hidden="1">
      <c r="A2107" t="s">
        <v>15</v>
      </c>
      <c r="B2107" t="str">
        <f>"FES1162690242"</f>
        <v>FES1162690242</v>
      </c>
      <c r="C2107" s="9">
        <v>43601</v>
      </c>
      <c r="D2107">
        <v>1</v>
      </c>
      <c r="E2107">
        <v>2170688663</v>
      </c>
      <c r="F2107" t="s">
        <v>16</v>
      </c>
      <c r="G2107" t="s">
        <v>17</v>
      </c>
      <c r="H2107" t="s">
        <v>43</v>
      </c>
      <c r="I2107" t="s">
        <v>44</v>
      </c>
      <c r="J2107" t="s">
        <v>51</v>
      </c>
      <c r="K2107" s="9">
        <v>43602</v>
      </c>
      <c r="L2107" s="10">
        <v>0.31527777777777777</v>
      </c>
      <c r="M2107" t="s">
        <v>2998</v>
      </c>
      <c r="N2107" t="s">
        <v>3218</v>
      </c>
      <c r="O2107" t="s">
        <v>22</v>
      </c>
    </row>
    <row r="2108" spans="1:15">
      <c r="A2108" s="6" t="s">
        <v>15</v>
      </c>
      <c r="B2108" s="6" t="str">
        <f>"RFES1162689558"</f>
        <v>RFES1162689558</v>
      </c>
      <c r="C2108" s="7">
        <v>43601</v>
      </c>
      <c r="D2108" s="6">
        <v>1</v>
      </c>
      <c r="E2108" s="6">
        <v>2170688125</v>
      </c>
      <c r="F2108" s="6" t="s">
        <v>16</v>
      </c>
      <c r="G2108" s="6" t="s">
        <v>17</v>
      </c>
      <c r="H2108" s="6" t="s">
        <v>17</v>
      </c>
      <c r="I2108" s="6" t="s">
        <v>64</v>
      </c>
      <c r="J2108" s="6" t="s">
        <v>476</v>
      </c>
      <c r="K2108" s="7">
        <v>43602</v>
      </c>
      <c r="L2108" s="8">
        <v>0.36319444444444443</v>
      </c>
      <c r="M2108" s="6" t="s">
        <v>477</v>
      </c>
      <c r="N2108" s="6" t="s">
        <v>21</v>
      </c>
      <c r="O2108" s="6" t="s">
        <v>22</v>
      </c>
    </row>
    <row r="2109" spans="1:15">
      <c r="A2109" s="6" t="s">
        <v>15</v>
      </c>
      <c r="B2109" s="6" t="str">
        <f>"R009935723267"</f>
        <v>R009935723267</v>
      </c>
      <c r="C2109" s="7">
        <v>43601</v>
      </c>
      <c r="D2109" s="6">
        <v>1</v>
      </c>
      <c r="E2109" s="6">
        <v>1162686155</v>
      </c>
      <c r="F2109" s="6" t="s">
        <v>16</v>
      </c>
      <c r="G2109" s="6" t="s">
        <v>17</v>
      </c>
      <c r="H2109" s="6" t="s">
        <v>17</v>
      </c>
      <c r="I2109" s="6" t="s">
        <v>64</v>
      </c>
      <c r="J2109" s="6" t="s">
        <v>476</v>
      </c>
      <c r="K2109" s="7">
        <v>43602</v>
      </c>
      <c r="L2109" s="8">
        <v>0.37152777777777773</v>
      </c>
      <c r="M2109" s="6" t="s">
        <v>477</v>
      </c>
      <c r="N2109" s="6" t="s">
        <v>21</v>
      </c>
      <c r="O2109" s="6" t="s">
        <v>22</v>
      </c>
    </row>
    <row r="2110" spans="1:15" hidden="1">
      <c r="A2110" t="s">
        <v>15</v>
      </c>
      <c r="B2110" t="str">
        <f>"080002302475"</f>
        <v>080002302475</v>
      </c>
      <c r="C2110" s="9">
        <v>43601</v>
      </c>
      <c r="D2110">
        <v>1</v>
      </c>
      <c r="E2110" t="s">
        <v>3219</v>
      </c>
      <c r="F2110" t="s">
        <v>16</v>
      </c>
      <c r="G2110" t="s">
        <v>32</v>
      </c>
      <c r="H2110" t="s">
        <v>43</v>
      </c>
      <c r="I2110" t="s">
        <v>44</v>
      </c>
      <c r="J2110" t="s">
        <v>476</v>
      </c>
      <c r="K2110" t="s">
        <v>1730</v>
      </c>
      <c r="L2110"/>
      <c r="M2110" t="s">
        <v>1731</v>
      </c>
      <c r="N2110" t="s">
        <v>3220</v>
      </c>
      <c r="O2110" t="s">
        <v>3221</v>
      </c>
    </row>
    <row r="2111" spans="1:15" hidden="1">
      <c r="A2111" t="s">
        <v>15</v>
      </c>
      <c r="B2111" t="str">
        <f>"FES1162690230"</f>
        <v>FES1162690230</v>
      </c>
      <c r="C2111" s="9">
        <v>43601</v>
      </c>
      <c r="D2111">
        <v>1</v>
      </c>
      <c r="E2111">
        <v>2170686629</v>
      </c>
      <c r="F2111" t="s">
        <v>16</v>
      </c>
      <c r="G2111" t="s">
        <v>17</v>
      </c>
      <c r="H2111" t="s">
        <v>37</v>
      </c>
      <c r="I2111" t="s">
        <v>38</v>
      </c>
      <c r="J2111" t="s">
        <v>39</v>
      </c>
      <c r="K2111" s="9">
        <v>43602</v>
      </c>
      <c r="L2111" s="10">
        <v>0.37152777777777773</v>
      </c>
      <c r="M2111" t="s">
        <v>40</v>
      </c>
      <c r="N2111" t="s">
        <v>3222</v>
      </c>
      <c r="O2111" t="s">
        <v>22</v>
      </c>
    </row>
    <row r="2112" spans="1:15" hidden="1">
      <c r="A2112" t="s">
        <v>15</v>
      </c>
      <c r="B2112" t="str">
        <f>"FES1162690256"</f>
        <v>FES1162690256</v>
      </c>
      <c r="C2112" s="9">
        <v>43601</v>
      </c>
      <c r="D2112">
        <v>1</v>
      </c>
      <c r="E2112">
        <v>2170688687</v>
      </c>
      <c r="F2112" t="s">
        <v>16</v>
      </c>
      <c r="G2112" t="s">
        <v>17</v>
      </c>
      <c r="H2112" t="s">
        <v>32</v>
      </c>
      <c r="I2112" t="s">
        <v>33</v>
      </c>
      <c r="J2112" t="s">
        <v>3223</v>
      </c>
      <c r="K2112" s="9">
        <v>43602</v>
      </c>
      <c r="L2112" s="10">
        <v>0.3444444444444445</v>
      </c>
      <c r="M2112" t="s">
        <v>3224</v>
      </c>
      <c r="N2112" t="s">
        <v>3225</v>
      </c>
      <c r="O2112" t="s">
        <v>22</v>
      </c>
    </row>
    <row r="2113" spans="1:15" hidden="1">
      <c r="A2113" t="s">
        <v>15</v>
      </c>
      <c r="B2113" t="str">
        <f>"FES1162690208"</f>
        <v>FES1162690208</v>
      </c>
      <c r="C2113" s="9">
        <v>43601</v>
      </c>
      <c r="D2113">
        <v>1</v>
      </c>
      <c r="E2113">
        <v>2170676106</v>
      </c>
      <c r="F2113" t="s">
        <v>16</v>
      </c>
      <c r="G2113" t="s">
        <v>17</v>
      </c>
      <c r="H2113" t="s">
        <v>32</v>
      </c>
      <c r="I2113" t="s">
        <v>33</v>
      </c>
      <c r="J2113" t="s">
        <v>3223</v>
      </c>
      <c r="K2113" s="9">
        <v>43602</v>
      </c>
      <c r="L2113" s="10">
        <v>0.3444444444444445</v>
      </c>
      <c r="M2113" t="s">
        <v>3224</v>
      </c>
      <c r="N2113" t="s">
        <v>3226</v>
      </c>
      <c r="O2113" t="s">
        <v>22</v>
      </c>
    </row>
    <row r="2114" spans="1:15" hidden="1">
      <c r="A2114" t="s">
        <v>15</v>
      </c>
      <c r="B2114" t="str">
        <f>"FES1162690243"</f>
        <v>FES1162690243</v>
      </c>
      <c r="C2114" s="9">
        <v>43601</v>
      </c>
      <c r="D2114">
        <v>1</v>
      </c>
      <c r="E2114">
        <v>2170688664</v>
      </c>
      <c r="F2114" t="s">
        <v>16</v>
      </c>
      <c r="G2114" t="s">
        <v>17</v>
      </c>
      <c r="H2114" t="s">
        <v>141</v>
      </c>
      <c r="I2114" t="s">
        <v>185</v>
      </c>
      <c r="J2114" t="s">
        <v>1011</v>
      </c>
      <c r="K2114" s="9">
        <v>43602</v>
      </c>
      <c r="L2114" s="10">
        <v>0.34652777777777777</v>
      </c>
      <c r="M2114" t="s">
        <v>1012</v>
      </c>
      <c r="N2114" t="s">
        <v>3227</v>
      </c>
      <c r="O2114" t="s">
        <v>22</v>
      </c>
    </row>
    <row r="2115" spans="1:15" hidden="1">
      <c r="A2115" t="s">
        <v>15</v>
      </c>
      <c r="B2115" t="str">
        <f>"FES1162690193"</f>
        <v>FES1162690193</v>
      </c>
      <c r="C2115" s="9">
        <v>43601</v>
      </c>
      <c r="D2115">
        <v>1</v>
      </c>
      <c r="E2115">
        <v>2107688624</v>
      </c>
      <c r="F2115" t="s">
        <v>16</v>
      </c>
      <c r="G2115" t="s">
        <v>17</v>
      </c>
      <c r="H2115" t="s">
        <v>132</v>
      </c>
      <c r="I2115" t="s">
        <v>133</v>
      </c>
      <c r="J2115" t="s">
        <v>238</v>
      </c>
      <c r="K2115" s="9">
        <v>43602</v>
      </c>
      <c r="L2115" s="10">
        <v>0.3347222222222222</v>
      </c>
      <c r="M2115" t="s">
        <v>989</v>
      </c>
      <c r="N2115" t="s">
        <v>3228</v>
      </c>
      <c r="O2115" t="s">
        <v>22</v>
      </c>
    </row>
    <row r="2116" spans="1:15" hidden="1">
      <c r="A2116" t="s">
        <v>15</v>
      </c>
      <c r="B2116" t="str">
        <f>"FES1162690158"</f>
        <v>FES1162690158</v>
      </c>
      <c r="C2116" s="9">
        <v>43601</v>
      </c>
      <c r="D2116">
        <v>1</v>
      </c>
      <c r="E2116">
        <v>2170686579</v>
      </c>
      <c r="F2116" t="s">
        <v>16</v>
      </c>
      <c r="G2116" t="s">
        <v>17</v>
      </c>
      <c r="H2116" t="s">
        <v>132</v>
      </c>
      <c r="I2116" t="s">
        <v>3229</v>
      </c>
      <c r="J2116" t="s">
        <v>387</v>
      </c>
      <c r="K2116" s="9">
        <v>43602</v>
      </c>
      <c r="L2116" s="10">
        <v>0.45902777777777781</v>
      </c>
      <c r="M2116" t="s">
        <v>3230</v>
      </c>
      <c r="N2116" t="s">
        <v>3231</v>
      </c>
      <c r="O2116" t="s">
        <v>22</v>
      </c>
    </row>
    <row r="2117" spans="1:15" hidden="1">
      <c r="A2117" t="s">
        <v>15</v>
      </c>
      <c r="B2117" t="str">
        <f>"FES1162690171"</f>
        <v>FES1162690171</v>
      </c>
      <c r="C2117" s="9">
        <v>43601</v>
      </c>
      <c r="D2117">
        <v>1</v>
      </c>
      <c r="E2117">
        <v>2170688116</v>
      </c>
      <c r="F2117" t="s">
        <v>16</v>
      </c>
      <c r="G2117" t="s">
        <v>17</v>
      </c>
      <c r="H2117" t="s">
        <v>132</v>
      </c>
      <c r="I2117" t="s">
        <v>137</v>
      </c>
      <c r="J2117" t="s">
        <v>138</v>
      </c>
      <c r="K2117" s="9">
        <v>43602</v>
      </c>
      <c r="L2117" s="10">
        <v>0.60416666666666663</v>
      </c>
      <c r="M2117" t="s">
        <v>3232</v>
      </c>
      <c r="N2117" t="s">
        <v>3233</v>
      </c>
      <c r="O2117" t="s">
        <v>22</v>
      </c>
    </row>
    <row r="2118" spans="1:15" hidden="1">
      <c r="A2118" t="s">
        <v>15</v>
      </c>
      <c r="B2118" t="str">
        <f>"FES1162690166"</f>
        <v>FES1162690166</v>
      </c>
      <c r="C2118" s="9">
        <v>43601</v>
      </c>
      <c r="D2118">
        <v>1</v>
      </c>
      <c r="E2118">
        <v>2170687341</v>
      </c>
      <c r="F2118" t="s">
        <v>16</v>
      </c>
      <c r="G2118" t="s">
        <v>17</v>
      </c>
      <c r="H2118" t="s">
        <v>141</v>
      </c>
      <c r="I2118" t="s">
        <v>142</v>
      </c>
      <c r="J2118" t="s">
        <v>864</v>
      </c>
      <c r="K2118" s="9">
        <v>43602</v>
      </c>
      <c r="L2118" s="10">
        <v>0.34513888888888888</v>
      </c>
      <c r="M2118" t="s">
        <v>3234</v>
      </c>
      <c r="N2118" t="s">
        <v>3235</v>
      </c>
      <c r="O2118" t="s">
        <v>22</v>
      </c>
    </row>
    <row r="2119" spans="1:15" hidden="1">
      <c r="A2119" t="s">
        <v>15</v>
      </c>
      <c r="B2119" t="str">
        <f>"FES1162690154"</f>
        <v>FES1162690154</v>
      </c>
      <c r="C2119" s="9">
        <v>43601</v>
      </c>
      <c r="D2119">
        <v>1</v>
      </c>
      <c r="E2119">
        <v>2170685823</v>
      </c>
      <c r="F2119" t="s">
        <v>16</v>
      </c>
      <c r="G2119" t="s">
        <v>17</v>
      </c>
      <c r="H2119" t="s">
        <v>440</v>
      </c>
      <c r="I2119" t="s">
        <v>441</v>
      </c>
      <c r="J2119" t="s">
        <v>317</v>
      </c>
      <c r="K2119" s="9">
        <v>43602</v>
      </c>
      <c r="L2119" s="10">
        <v>0.39583333333333331</v>
      </c>
      <c r="M2119" t="s">
        <v>1965</v>
      </c>
      <c r="N2119" t="s">
        <v>3236</v>
      </c>
      <c r="O2119" t="s">
        <v>22</v>
      </c>
    </row>
    <row r="2120" spans="1:15" hidden="1">
      <c r="A2120" t="s">
        <v>15</v>
      </c>
      <c r="B2120" t="str">
        <f>"FES1162690246"</f>
        <v>FES1162690246</v>
      </c>
      <c r="C2120" s="9">
        <v>43601</v>
      </c>
      <c r="D2120">
        <v>1</v>
      </c>
      <c r="E2120">
        <v>2170688670</v>
      </c>
      <c r="F2120" t="s">
        <v>16</v>
      </c>
      <c r="G2120" t="s">
        <v>17</v>
      </c>
      <c r="H2120" t="s">
        <v>132</v>
      </c>
      <c r="I2120" t="s">
        <v>133</v>
      </c>
      <c r="J2120" t="s">
        <v>238</v>
      </c>
      <c r="K2120" s="9">
        <v>43602</v>
      </c>
      <c r="L2120" s="10">
        <v>0.3347222222222222</v>
      </c>
      <c r="M2120" t="s">
        <v>989</v>
      </c>
      <c r="N2120" t="s">
        <v>3237</v>
      </c>
      <c r="O2120" t="s">
        <v>22</v>
      </c>
    </row>
    <row r="2121" spans="1:15" hidden="1">
      <c r="A2121" t="s">
        <v>15</v>
      </c>
      <c r="B2121" t="str">
        <f>"FES1162690169"</f>
        <v>FES1162690169</v>
      </c>
      <c r="C2121" s="9">
        <v>43601</v>
      </c>
      <c r="D2121">
        <v>1</v>
      </c>
      <c r="E2121">
        <v>2170687763</v>
      </c>
      <c r="F2121" t="s">
        <v>16</v>
      </c>
      <c r="G2121" t="s">
        <v>17</v>
      </c>
      <c r="H2121" t="s">
        <v>132</v>
      </c>
      <c r="I2121" t="s">
        <v>133</v>
      </c>
      <c r="J2121" t="s">
        <v>238</v>
      </c>
      <c r="K2121" s="9">
        <v>43602</v>
      </c>
      <c r="L2121" s="10">
        <v>0.3347222222222222</v>
      </c>
      <c r="M2121" t="s">
        <v>989</v>
      </c>
      <c r="N2121" t="s">
        <v>3238</v>
      </c>
      <c r="O2121" t="s">
        <v>22</v>
      </c>
    </row>
    <row r="2122" spans="1:15" hidden="1">
      <c r="A2122" t="s">
        <v>15</v>
      </c>
      <c r="B2122" t="str">
        <f>"FES1162690234"</f>
        <v>FES1162690234</v>
      </c>
      <c r="C2122" s="9">
        <v>43601</v>
      </c>
      <c r="D2122">
        <v>1</v>
      </c>
      <c r="E2122">
        <v>2170687341</v>
      </c>
      <c r="F2122" t="s">
        <v>16</v>
      </c>
      <c r="G2122" t="s">
        <v>17</v>
      </c>
      <c r="H2122" t="s">
        <v>141</v>
      </c>
      <c r="I2122" t="s">
        <v>142</v>
      </c>
      <c r="J2122" t="s">
        <v>864</v>
      </c>
      <c r="K2122" s="9">
        <v>43602</v>
      </c>
      <c r="L2122" s="10">
        <v>0.34513888888888888</v>
      </c>
      <c r="M2122" t="s">
        <v>3234</v>
      </c>
      <c r="N2122" t="s">
        <v>3239</v>
      </c>
      <c r="O2122" t="s">
        <v>22</v>
      </c>
    </row>
    <row r="2123" spans="1:15" hidden="1">
      <c r="A2123" t="s">
        <v>15</v>
      </c>
      <c r="B2123" t="str">
        <f>"FES1162690198"</f>
        <v>FES1162690198</v>
      </c>
      <c r="C2123" s="9">
        <v>43601</v>
      </c>
      <c r="D2123">
        <v>1</v>
      </c>
      <c r="E2123">
        <v>2170688637</v>
      </c>
      <c r="F2123" t="s">
        <v>16</v>
      </c>
      <c r="G2123" t="s">
        <v>17</v>
      </c>
      <c r="H2123" t="s">
        <v>322</v>
      </c>
      <c r="I2123" t="s">
        <v>618</v>
      </c>
      <c r="J2123" t="s">
        <v>619</v>
      </c>
      <c r="K2123" s="9">
        <v>43602</v>
      </c>
      <c r="L2123" s="10">
        <v>0.5</v>
      </c>
      <c r="M2123" t="s">
        <v>620</v>
      </c>
      <c r="N2123" t="s">
        <v>3240</v>
      </c>
      <c r="O2123" t="s">
        <v>22</v>
      </c>
    </row>
    <row r="2124" spans="1:15" hidden="1">
      <c r="A2124" s="14" t="s">
        <v>15</v>
      </c>
      <c r="B2124" s="14" t="str">
        <f>"FES1162690245"</f>
        <v>FES1162690245</v>
      </c>
      <c r="C2124" s="15">
        <v>43601</v>
      </c>
      <c r="D2124" s="14">
        <v>1</v>
      </c>
      <c r="E2124" s="14">
        <v>2170688666</v>
      </c>
      <c r="F2124" s="14" t="s">
        <v>16</v>
      </c>
      <c r="G2124" s="14" t="s">
        <v>17</v>
      </c>
      <c r="H2124" s="14" t="s">
        <v>141</v>
      </c>
      <c r="I2124" s="14" t="s">
        <v>185</v>
      </c>
      <c r="J2124" s="14" t="s">
        <v>1543</v>
      </c>
      <c r="K2124" s="15">
        <v>43602</v>
      </c>
      <c r="L2124" s="16">
        <v>0.4375</v>
      </c>
      <c r="M2124" s="14" t="s">
        <v>1544</v>
      </c>
      <c r="N2124" s="14" t="s">
        <v>21</v>
      </c>
      <c r="O2124" s="14" t="s">
        <v>22</v>
      </c>
    </row>
    <row r="2125" spans="1:15">
      <c r="A2125" s="6" t="s">
        <v>15</v>
      </c>
      <c r="B2125" s="6" t="str">
        <f>"FES1162690294"</f>
        <v>FES1162690294</v>
      </c>
      <c r="C2125" s="7">
        <v>43601</v>
      </c>
      <c r="D2125" s="6">
        <v>1</v>
      </c>
      <c r="E2125" s="6">
        <v>2170688739</v>
      </c>
      <c r="F2125" s="6" t="s">
        <v>16</v>
      </c>
      <c r="G2125" s="6" t="s">
        <v>17</v>
      </c>
      <c r="H2125" s="6" t="s">
        <v>17</v>
      </c>
      <c r="I2125" s="6" t="s">
        <v>18</v>
      </c>
      <c r="J2125" s="6" t="s">
        <v>19</v>
      </c>
      <c r="K2125" s="7">
        <v>43602</v>
      </c>
      <c r="L2125" s="8">
        <v>0.42083333333333334</v>
      </c>
      <c r="M2125" s="6" t="s">
        <v>1978</v>
      </c>
      <c r="N2125" s="6" t="s">
        <v>21</v>
      </c>
      <c r="O2125" s="6" t="s">
        <v>22</v>
      </c>
    </row>
    <row r="2126" spans="1:15" hidden="1">
      <c r="A2126" t="s">
        <v>15</v>
      </c>
      <c r="B2126" t="str">
        <f>"FES1162690248"</f>
        <v>FES1162690248</v>
      </c>
      <c r="C2126" s="9">
        <v>43601</v>
      </c>
      <c r="D2126">
        <v>1</v>
      </c>
      <c r="E2126">
        <v>2170688676</v>
      </c>
      <c r="F2126" t="s">
        <v>16</v>
      </c>
      <c r="G2126" t="s">
        <v>17</v>
      </c>
      <c r="H2126" t="s">
        <v>32</v>
      </c>
      <c r="I2126" t="s">
        <v>33</v>
      </c>
      <c r="J2126" t="s">
        <v>2917</v>
      </c>
      <c r="K2126" s="9">
        <v>43602</v>
      </c>
      <c r="L2126" s="10">
        <v>0.3347222222222222</v>
      </c>
      <c r="M2126" t="s">
        <v>3241</v>
      </c>
      <c r="N2126" t="s">
        <v>3242</v>
      </c>
      <c r="O2126" t="s">
        <v>22</v>
      </c>
    </row>
    <row r="2127" spans="1:15" hidden="1">
      <c r="A2127" t="s">
        <v>15</v>
      </c>
      <c r="B2127" t="str">
        <f>"FES1162690168"</f>
        <v>FES1162690168</v>
      </c>
      <c r="C2127" s="9">
        <v>43601</v>
      </c>
      <c r="D2127">
        <v>1</v>
      </c>
      <c r="E2127">
        <v>2170687621</v>
      </c>
      <c r="F2127" t="s">
        <v>16</v>
      </c>
      <c r="G2127" t="s">
        <v>17</v>
      </c>
      <c r="H2127" t="s">
        <v>32</v>
      </c>
      <c r="I2127" t="s">
        <v>33</v>
      </c>
      <c r="J2127" t="s">
        <v>357</v>
      </c>
      <c r="K2127" s="9">
        <v>43602</v>
      </c>
      <c r="L2127" s="10">
        <v>0.43055555555555558</v>
      </c>
      <c r="M2127" t="s">
        <v>1595</v>
      </c>
      <c r="N2127" t="s">
        <v>3243</v>
      </c>
      <c r="O2127" t="s">
        <v>22</v>
      </c>
    </row>
    <row r="2128" spans="1:15" hidden="1">
      <c r="A2128" t="s">
        <v>15</v>
      </c>
      <c r="B2128" t="str">
        <f>"FES1162690293"</f>
        <v>FES1162690293</v>
      </c>
      <c r="C2128" s="9">
        <v>43601</v>
      </c>
      <c r="D2128">
        <v>1</v>
      </c>
      <c r="E2128">
        <v>2170688738</v>
      </c>
      <c r="F2128" t="s">
        <v>16</v>
      </c>
      <c r="G2128" t="s">
        <v>17</v>
      </c>
      <c r="H2128" t="s">
        <v>32</v>
      </c>
      <c r="I2128" t="s">
        <v>33</v>
      </c>
      <c r="J2128" t="s">
        <v>778</v>
      </c>
      <c r="K2128" s="9">
        <v>43602</v>
      </c>
      <c r="L2128" s="10">
        <v>0.4152777777777778</v>
      </c>
      <c r="M2128" t="s">
        <v>3244</v>
      </c>
      <c r="N2128" t="s">
        <v>3245</v>
      </c>
      <c r="O2128" t="s">
        <v>22</v>
      </c>
    </row>
    <row r="2129" spans="1:15" hidden="1">
      <c r="A2129" s="14" t="s">
        <v>15</v>
      </c>
      <c r="B2129" s="14" t="str">
        <f>"FES1162690250"</f>
        <v>FES1162690250</v>
      </c>
      <c r="C2129" s="15">
        <v>43601</v>
      </c>
      <c r="D2129" s="14">
        <v>1</v>
      </c>
      <c r="E2129" s="14">
        <v>2170688679</v>
      </c>
      <c r="F2129" s="14" t="s">
        <v>16</v>
      </c>
      <c r="G2129" s="14" t="s">
        <v>17</v>
      </c>
      <c r="H2129" s="14" t="s">
        <v>132</v>
      </c>
      <c r="I2129" s="14" t="s">
        <v>133</v>
      </c>
      <c r="J2129" s="14" t="s">
        <v>189</v>
      </c>
      <c r="K2129" s="15">
        <v>43602</v>
      </c>
      <c r="L2129" s="16">
        <v>0.43194444444444446</v>
      </c>
      <c r="M2129" s="14" t="s">
        <v>1953</v>
      </c>
      <c r="N2129" s="14" t="s">
        <v>21</v>
      </c>
      <c r="O2129" s="14" t="s">
        <v>22</v>
      </c>
    </row>
    <row r="2130" spans="1:15">
      <c r="A2130" s="6" t="s">
        <v>15</v>
      </c>
      <c r="B2130" s="6" t="str">
        <f>"FES1162690261"</f>
        <v>FES1162690261</v>
      </c>
      <c r="C2130" s="7">
        <v>43601</v>
      </c>
      <c r="D2130" s="6">
        <v>1</v>
      </c>
      <c r="E2130" s="6">
        <v>2170688694</v>
      </c>
      <c r="F2130" s="6" t="s">
        <v>16</v>
      </c>
      <c r="G2130" s="6" t="s">
        <v>17</v>
      </c>
      <c r="H2130" s="6" t="s">
        <v>17</v>
      </c>
      <c r="I2130" s="6" t="s">
        <v>18</v>
      </c>
      <c r="J2130" s="6" t="s">
        <v>3246</v>
      </c>
      <c r="K2130" s="7">
        <v>43602</v>
      </c>
      <c r="L2130" s="8">
        <v>0.5</v>
      </c>
      <c r="M2130" s="6" t="s">
        <v>3247</v>
      </c>
      <c r="N2130" s="6" t="s">
        <v>21</v>
      </c>
      <c r="O2130" s="6" t="s">
        <v>22</v>
      </c>
    </row>
    <row r="2131" spans="1:15" hidden="1">
      <c r="A2131" t="s">
        <v>15</v>
      </c>
      <c r="B2131" t="str">
        <f>"FES1162690175"</f>
        <v>FES1162690175</v>
      </c>
      <c r="C2131" s="9">
        <v>43601</v>
      </c>
      <c r="D2131">
        <v>1</v>
      </c>
      <c r="E2131">
        <v>2170688347</v>
      </c>
      <c r="F2131" t="s">
        <v>16</v>
      </c>
      <c r="G2131" t="s">
        <v>17</v>
      </c>
      <c r="H2131" t="s">
        <v>43</v>
      </c>
      <c r="I2131" t="s">
        <v>44</v>
      </c>
      <c r="J2131" t="s">
        <v>3248</v>
      </c>
      <c r="K2131" s="9">
        <v>43602</v>
      </c>
      <c r="L2131" s="10">
        <v>0.33680555555555558</v>
      </c>
      <c r="M2131" t="s">
        <v>928</v>
      </c>
      <c r="N2131" t="s">
        <v>3249</v>
      </c>
      <c r="O2131" t="s">
        <v>22</v>
      </c>
    </row>
    <row r="2132" spans="1:15" hidden="1">
      <c r="A2132" t="s">
        <v>15</v>
      </c>
      <c r="B2132" t="str">
        <f>"FES1162690233"</f>
        <v>FES1162690233</v>
      </c>
      <c r="C2132" s="9">
        <v>43601</v>
      </c>
      <c r="D2132">
        <v>1</v>
      </c>
      <c r="E2132">
        <v>2170687295</v>
      </c>
      <c r="F2132" t="s">
        <v>16</v>
      </c>
      <c r="G2132" t="s">
        <v>17</v>
      </c>
      <c r="H2132" t="s">
        <v>43</v>
      </c>
      <c r="I2132" t="s">
        <v>44</v>
      </c>
      <c r="J2132" t="s">
        <v>207</v>
      </c>
      <c r="K2132" s="9">
        <v>43602</v>
      </c>
      <c r="L2132" s="10">
        <v>0.41666666666666669</v>
      </c>
      <c r="M2132" t="s">
        <v>3250</v>
      </c>
      <c r="N2132" t="s">
        <v>3251</v>
      </c>
      <c r="O2132" t="s">
        <v>22</v>
      </c>
    </row>
    <row r="2133" spans="1:15" hidden="1">
      <c r="A2133" t="s">
        <v>15</v>
      </c>
      <c r="B2133" t="str">
        <f>"FES1162690172"</f>
        <v>FES1162690172</v>
      </c>
      <c r="C2133" s="9">
        <v>43601</v>
      </c>
      <c r="D2133">
        <v>1</v>
      </c>
      <c r="E2133">
        <v>2170688152</v>
      </c>
      <c r="F2133" t="s">
        <v>16</v>
      </c>
      <c r="G2133" t="s">
        <v>17</v>
      </c>
      <c r="H2133" t="s">
        <v>43</v>
      </c>
      <c r="I2133" t="s">
        <v>44</v>
      </c>
      <c r="J2133" t="s">
        <v>336</v>
      </c>
      <c r="K2133" s="9">
        <v>43602</v>
      </c>
      <c r="L2133" s="10">
        <v>0.34513888888888888</v>
      </c>
      <c r="M2133" t="s">
        <v>3032</v>
      </c>
      <c r="N2133" t="s">
        <v>3252</v>
      </c>
      <c r="O2133" t="s">
        <v>22</v>
      </c>
    </row>
    <row r="2134" spans="1:15" hidden="1">
      <c r="A2134" t="s">
        <v>15</v>
      </c>
      <c r="B2134" t="str">
        <f>"FES1162690189"</f>
        <v>FES1162690189</v>
      </c>
      <c r="C2134" s="9">
        <v>43601</v>
      </c>
      <c r="D2134">
        <v>1</v>
      </c>
      <c r="E2134">
        <v>2170688620</v>
      </c>
      <c r="F2134" t="s">
        <v>16</v>
      </c>
      <c r="G2134" t="s">
        <v>17</v>
      </c>
      <c r="H2134" t="s">
        <v>43</v>
      </c>
      <c r="I2134" t="s">
        <v>44</v>
      </c>
      <c r="J2134" t="s">
        <v>48</v>
      </c>
      <c r="K2134" s="9">
        <v>43602</v>
      </c>
      <c r="L2134" s="10">
        <v>0.31597222222222221</v>
      </c>
      <c r="M2134" t="s">
        <v>3253</v>
      </c>
      <c r="N2134" t="s">
        <v>3254</v>
      </c>
      <c r="O2134" t="s">
        <v>22</v>
      </c>
    </row>
    <row r="2135" spans="1:15" hidden="1">
      <c r="A2135" t="s">
        <v>15</v>
      </c>
      <c r="B2135" t="str">
        <f>"FES1162690173"</f>
        <v>FES1162690173</v>
      </c>
      <c r="C2135" s="9">
        <v>43601</v>
      </c>
      <c r="D2135">
        <v>1</v>
      </c>
      <c r="E2135">
        <v>2170688153</v>
      </c>
      <c r="F2135" t="s">
        <v>16</v>
      </c>
      <c r="G2135" t="s">
        <v>17</v>
      </c>
      <c r="H2135" t="s">
        <v>43</v>
      </c>
      <c r="I2135" t="s">
        <v>44</v>
      </c>
      <c r="J2135" t="s">
        <v>336</v>
      </c>
      <c r="K2135" s="9">
        <v>43602</v>
      </c>
      <c r="L2135" s="10">
        <v>0.34513888888888888</v>
      </c>
      <c r="M2135" t="s">
        <v>3032</v>
      </c>
      <c r="N2135" t="s">
        <v>3255</v>
      </c>
      <c r="O2135" t="s">
        <v>22</v>
      </c>
    </row>
    <row r="2136" spans="1:15" hidden="1">
      <c r="A2136" t="s">
        <v>15</v>
      </c>
      <c r="B2136" t="str">
        <f>"FES1162690195"</f>
        <v>FES1162690195</v>
      </c>
      <c r="C2136" s="9">
        <v>43601</v>
      </c>
      <c r="D2136">
        <v>1</v>
      </c>
      <c r="E2136">
        <v>2170688631</v>
      </c>
      <c r="F2136" t="s">
        <v>16</v>
      </c>
      <c r="G2136" t="s">
        <v>17</v>
      </c>
      <c r="H2136" t="s">
        <v>43</v>
      </c>
      <c r="I2136" t="s">
        <v>738</v>
      </c>
      <c r="J2136" t="s">
        <v>339</v>
      </c>
      <c r="K2136" s="9">
        <v>43602</v>
      </c>
      <c r="L2136" s="10">
        <v>0.41666666666666669</v>
      </c>
      <c r="M2136" t="s">
        <v>3256</v>
      </c>
      <c r="N2136" t="s">
        <v>3257</v>
      </c>
      <c r="O2136" t="s">
        <v>22</v>
      </c>
    </row>
    <row r="2137" spans="1:15" hidden="1">
      <c r="A2137" t="s">
        <v>15</v>
      </c>
      <c r="B2137" t="str">
        <f>"FES1162690227"</f>
        <v>FES1162690227</v>
      </c>
      <c r="C2137" s="9">
        <v>43601</v>
      </c>
      <c r="D2137">
        <v>1</v>
      </c>
      <c r="E2137">
        <v>2170686235</v>
      </c>
      <c r="F2137" t="s">
        <v>16</v>
      </c>
      <c r="G2137" t="s">
        <v>17</v>
      </c>
      <c r="H2137" t="s">
        <v>43</v>
      </c>
      <c r="I2137" t="s">
        <v>44</v>
      </c>
      <c r="J2137" t="s">
        <v>399</v>
      </c>
      <c r="K2137" s="9">
        <v>43602</v>
      </c>
      <c r="L2137" s="10">
        <v>0.48194444444444445</v>
      </c>
      <c r="M2137" t="s">
        <v>645</v>
      </c>
      <c r="N2137" t="s">
        <v>3258</v>
      </c>
      <c r="O2137" t="s">
        <v>22</v>
      </c>
    </row>
    <row r="2138" spans="1:15" hidden="1">
      <c r="A2138" s="6" t="s">
        <v>15</v>
      </c>
      <c r="B2138" s="6" t="str">
        <f>"FES1162690221"</f>
        <v>FES1162690221</v>
      </c>
      <c r="C2138" s="7">
        <v>43601</v>
      </c>
      <c r="D2138" s="6">
        <v>1</v>
      </c>
      <c r="E2138" s="6">
        <v>2170688661</v>
      </c>
      <c r="F2138" s="6" t="s">
        <v>16</v>
      </c>
      <c r="G2138" s="6" t="s">
        <v>17</v>
      </c>
      <c r="H2138" s="6" t="s">
        <v>43</v>
      </c>
      <c r="I2138" s="6" t="s">
        <v>44</v>
      </c>
      <c r="J2138" s="6" t="s">
        <v>51</v>
      </c>
      <c r="K2138" s="7">
        <v>43602</v>
      </c>
      <c r="L2138" s="8">
        <v>0.31666666666666665</v>
      </c>
      <c r="M2138" s="6" t="s">
        <v>2998</v>
      </c>
      <c r="N2138" s="6" t="s">
        <v>21</v>
      </c>
      <c r="O2138" s="6" t="s">
        <v>22</v>
      </c>
    </row>
    <row r="2139" spans="1:15">
      <c r="A2139" s="6" t="s">
        <v>15</v>
      </c>
      <c r="B2139" s="6" t="str">
        <f>"FES1162690204"</f>
        <v>FES1162690204</v>
      </c>
      <c r="C2139" s="7">
        <v>43601</v>
      </c>
      <c r="D2139" s="6">
        <v>1</v>
      </c>
      <c r="E2139" s="6">
        <v>2170688641</v>
      </c>
      <c r="F2139" s="6" t="s">
        <v>16</v>
      </c>
      <c r="G2139" s="6" t="s">
        <v>17</v>
      </c>
      <c r="H2139" s="6" t="s">
        <v>17</v>
      </c>
      <c r="I2139" s="6" t="s">
        <v>613</v>
      </c>
      <c r="J2139" s="6" t="s">
        <v>3259</v>
      </c>
      <c r="K2139" s="7">
        <v>43602</v>
      </c>
      <c r="L2139" s="8">
        <v>0.33333333333333331</v>
      </c>
      <c r="M2139" s="6" t="s">
        <v>1483</v>
      </c>
      <c r="N2139" s="6" t="s">
        <v>21</v>
      </c>
      <c r="O2139" s="6" t="s">
        <v>22</v>
      </c>
    </row>
    <row r="2140" spans="1:15">
      <c r="A2140" s="6" t="s">
        <v>15</v>
      </c>
      <c r="B2140" s="6" t="str">
        <f>"FES1162690152"</f>
        <v>FES1162690152</v>
      </c>
      <c r="C2140" s="7">
        <v>43601</v>
      </c>
      <c r="D2140" s="6">
        <v>1</v>
      </c>
      <c r="E2140" s="6">
        <v>2170685040</v>
      </c>
      <c r="F2140" s="6" t="s">
        <v>16</v>
      </c>
      <c r="G2140" s="6" t="s">
        <v>17</v>
      </c>
      <c r="H2140" s="6" t="s">
        <v>17</v>
      </c>
      <c r="I2140" s="6" t="s">
        <v>67</v>
      </c>
      <c r="J2140" s="6" t="s">
        <v>408</v>
      </c>
      <c r="K2140" s="7">
        <v>43602</v>
      </c>
      <c r="L2140" s="8">
        <v>0.39583333333333331</v>
      </c>
      <c r="M2140" s="6" t="s">
        <v>3260</v>
      </c>
      <c r="N2140" s="6" t="s">
        <v>21</v>
      </c>
      <c r="O2140" s="6" t="s">
        <v>22</v>
      </c>
    </row>
    <row r="2141" spans="1:15">
      <c r="A2141" s="6" t="s">
        <v>15</v>
      </c>
      <c r="B2141" s="6" t="str">
        <f>"FES1162690253"</f>
        <v>FES1162690253</v>
      </c>
      <c r="C2141" s="7">
        <v>43601</v>
      </c>
      <c r="D2141" s="6">
        <v>1</v>
      </c>
      <c r="E2141" s="6">
        <v>2170688682</v>
      </c>
      <c r="F2141" s="6" t="s">
        <v>16</v>
      </c>
      <c r="G2141" s="6" t="s">
        <v>17</v>
      </c>
      <c r="H2141" s="6" t="s">
        <v>17</v>
      </c>
      <c r="I2141" s="6" t="s">
        <v>64</v>
      </c>
      <c r="J2141" s="6" t="s">
        <v>116</v>
      </c>
      <c r="K2141" s="7">
        <v>43602</v>
      </c>
      <c r="L2141" s="8">
        <v>0.3215277777777778</v>
      </c>
      <c r="M2141" s="6" t="s">
        <v>481</v>
      </c>
      <c r="N2141" s="6" t="s">
        <v>21</v>
      </c>
      <c r="O2141" s="6" t="s">
        <v>22</v>
      </c>
    </row>
    <row r="2142" spans="1:15">
      <c r="A2142" s="6" t="s">
        <v>15</v>
      </c>
      <c r="B2142" s="6" t="str">
        <f>"FES1162690196"</f>
        <v>FES1162690196</v>
      </c>
      <c r="C2142" s="7">
        <v>43601</v>
      </c>
      <c r="D2142" s="6">
        <v>1</v>
      </c>
      <c r="E2142" s="6">
        <v>2170688633</v>
      </c>
      <c r="F2142" s="6" t="s">
        <v>16</v>
      </c>
      <c r="G2142" s="6" t="s">
        <v>17</v>
      </c>
      <c r="H2142" s="6" t="s">
        <v>17</v>
      </c>
      <c r="I2142" s="6" t="s">
        <v>935</v>
      </c>
      <c r="J2142" s="6" t="s">
        <v>936</v>
      </c>
      <c r="K2142" s="7">
        <v>43602</v>
      </c>
      <c r="L2142" s="8">
        <v>0.4375</v>
      </c>
      <c r="M2142" s="6" t="s">
        <v>152</v>
      </c>
      <c r="N2142" s="6" t="s">
        <v>21</v>
      </c>
      <c r="O2142" s="6" t="s">
        <v>22</v>
      </c>
    </row>
    <row r="2143" spans="1:15">
      <c r="A2143" s="6" t="s">
        <v>15</v>
      </c>
      <c r="B2143" s="6" t="str">
        <f>"FES1162690268"</f>
        <v>FES1162690268</v>
      </c>
      <c r="C2143" s="7">
        <v>43601</v>
      </c>
      <c r="D2143" s="6">
        <v>1</v>
      </c>
      <c r="E2143" s="6">
        <v>2170688707</v>
      </c>
      <c r="F2143" s="6" t="s">
        <v>16</v>
      </c>
      <c r="G2143" s="6" t="s">
        <v>17</v>
      </c>
      <c r="H2143" s="6" t="s">
        <v>17</v>
      </c>
      <c r="I2143" s="6" t="s">
        <v>701</v>
      </c>
      <c r="J2143" s="6" t="s">
        <v>2208</v>
      </c>
      <c r="K2143" s="7">
        <v>43602</v>
      </c>
      <c r="L2143" s="8">
        <v>0.33333333333333331</v>
      </c>
      <c r="M2143" s="6" t="s">
        <v>3261</v>
      </c>
      <c r="N2143" s="6" t="s">
        <v>21</v>
      </c>
      <c r="O2143" s="6" t="s">
        <v>22</v>
      </c>
    </row>
    <row r="2144" spans="1:15">
      <c r="A2144" s="6" t="s">
        <v>15</v>
      </c>
      <c r="B2144" s="6" t="str">
        <f>"FES1162690238"</f>
        <v>FES1162690238</v>
      </c>
      <c r="C2144" s="7">
        <v>43601</v>
      </c>
      <c r="D2144" s="6">
        <v>1</v>
      </c>
      <c r="E2144" s="6">
        <v>2170687672</v>
      </c>
      <c r="F2144" s="6" t="s">
        <v>16</v>
      </c>
      <c r="G2144" s="6" t="s">
        <v>17</v>
      </c>
      <c r="H2144" s="6" t="s">
        <v>17</v>
      </c>
      <c r="I2144" s="6" t="s">
        <v>103</v>
      </c>
      <c r="J2144" s="6" t="s">
        <v>2090</v>
      </c>
      <c r="K2144" s="7">
        <v>43602</v>
      </c>
      <c r="L2144" s="8">
        <v>0.38194444444444442</v>
      </c>
      <c r="M2144" s="6" t="s">
        <v>56</v>
      </c>
      <c r="N2144" s="6" t="s">
        <v>21</v>
      </c>
      <c r="O2144" s="6" t="s">
        <v>22</v>
      </c>
    </row>
    <row r="2145" spans="1:15">
      <c r="A2145" s="6" t="s">
        <v>15</v>
      </c>
      <c r="B2145" s="6" t="str">
        <f>"FES1162690170"</f>
        <v>FES1162690170</v>
      </c>
      <c r="C2145" s="7">
        <v>43601</v>
      </c>
      <c r="D2145" s="6">
        <v>1</v>
      </c>
      <c r="E2145" s="6">
        <v>2170688101</v>
      </c>
      <c r="F2145" s="6" t="s">
        <v>16</v>
      </c>
      <c r="G2145" s="6" t="s">
        <v>17</v>
      </c>
      <c r="H2145" s="6" t="s">
        <v>17</v>
      </c>
      <c r="I2145" s="6" t="s">
        <v>23</v>
      </c>
      <c r="J2145" s="6" t="s">
        <v>70</v>
      </c>
      <c r="K2145" s="7">
        <v>43602</v>
      </c>
      <c r="L2145" s="8">
        <v>0.29722222222222222</v>
      </c>
      <c r="M2145" s="6" t="s">
        <v>1845</v>
      </c>
      <c r="N2145" s="6" t="s">
        <v>21</v>
      </c>
      <c r="O2145" s="6" t="s">
        <v>22</v>
      </c>
    </row>
    <row r="2146" spans="1:15">
      <c r="A2146" s="6" t="s">
        <v>15</v>
      </c>
      <c r="B2146" s="6" t="str">
        <f>"FES1162690180"</f>
        <v>FES1162690180</v>
      </c>
      <c r="C2146" s="7">
        <v>43601</v>
      </c>
      <c r="D2146" s="6">
        <v>1</v>
      </c>
      <c r="E2146" s="6">
        <v>2170688604</v>
      </c>
      <c r="F2146" s="6" t="s">
        <v>16</v>
      </c>
      <c r="G2146" s="6" t="s">
        <v>17</v>
      </c>
      <c r="H2146" s="6" t="s">
        <v>17</v>
      </c>
      <c r="I2146" s="6" t="s">
        <v>64</v>
      </c>
      <c r="J2146" s="6" t="s">
        <v>3262</v>
      </c>
      <c r="K2146" s="7">
        <v>43602</v>
      </c>
      <c r="L2146" s="8">
        <v>0.42291666666666666</v>
      </c>
      <c r="M2146" s="6" t="s">
        <v>3263</v>
      </c>
      <c r="N2146" s="6" t="s">
        <v>21</v>
      </c>
      <c r="O2146" s="6" t="s">
        <v>22</v>
      </c>
    </row>
    <row r="2147" spans="1:15">
      <c r="A2147" s="6" t="s">
        <v>15</v>
      </c>
      <c r="B2147" s="6" t="str">
        <f>"FES1162690183"</f>
        <v>FES1162690183</v>
      </c>
      <c r="C2147" s="7">
        <v>43601</v>
      </c>
      <c r="D2147" s="6">
        <v>1</v>
      </c>
      <c r="E2147" s="6">
        <v>2170688610</v>
      </c>
      <c r="F2147" s="6" t="s">
        <v>16</v>
      </c>
      <c r="G2147" s="6" t="s">
        <v>17</v>
      </c>
      <c r="H2147" s="6" t="s">
        <v>17</v>
      </c>
      <c r="I2147" s="6" t="s">
        <v>103</v>
      </c>
      <c r="J2147" s="6" t="s">
        <v>616</v>
      </c>
      <c r="K2147" s="7">
        <v>43602</v>
      </c>
      <c r="L2147" s="8">
        <v>0.39583333333333331</v>
      </c>
      <c r="M2147" s="6" t="s">
        <v>56</v>
      </c>
      <c r="N2147" s="6" t="s">
        <v>21</v>
      </c>
      <c r="O2147" s="6" t="s">
        <v>22</v>
      </c>
    </row>
    <row r="2148" spans="1:15">
      <c r="A2148" s="14" t="s">
        <v>15</v>
      </c>
      <c r="B2148" s="14" t="str">
        <f>"FES1162690276"</f>
        <v>FES1162690276</v>
      </c>
      <c r="C2148" s="15">
        <v>43601</v>
      </c>
      <c r="D2148" s="14">
        <v>1</v>
      </c>
      <c r="E2148" s="14">
        <v>2170688719</v>
      </c>
      <c r="F2148" s="14" t="s">
        <v>16</v>
      </c>
      <c r="G2148" s="14" t="s">
        <v>17</v>
      </c>
      <c r="H2148" s="14" t="s">
        <v>17</v>
      </c>
      <c r="I2148" s="14" t="s">
        <v>64</v>
      </c>
      <c r="J2148" s="14" t="s">
        <v>116</v>
      </c>
      <c r="K2148" s="15">
        <v>43602</v>
      </c>
      <c r="L2148" s="16">
        <v>0.3215277777777778</v>
      </c>
      <c r="M2148" s="14" t="s">
        <v>481</v>
      </c>
      <c r="N2148" s="14" t="s">
        <v>21</v>
      </c>
      <c r="O2148" s="14" t="s">
        <v>22</v>
      </c>
    </row>
    <row r="2149" spans="1:15">
      <c r="A2149" s="6" t="s">
        <v>15</v>
      </c>
      <c r="B2149" s="6" t="str">
        <f>"FES1162690163"</f>
        <v>FES1162690163</v>
      </c>
      <c r="C2149" s="7">
        <v>43601</v>
      </c>
      <c r="D2149" s="6">
        <v>1</v>
      </c>
      <c r="E2149" s="6">
        <v>2170687249</v>
      </c>
      <c r="F2149" s="6" t="s">
        <v>16</v>
      </c>
      <c r="G2149" s="6" t="s">
        <v>17</v>
      </c>
      <c r="H2149" s="6" t="s">
        <v>17</v>
      </c>
      <c r="I2149" s="6" t="s">
        <v>67</v>
      </c>
      <c r="J2149" s="6" t="s">
        <v>1455</v>
      </c>
      <c r="K2149" s="7">
        <v>43602</v>
      </c>
      <c r="L2149" s="8">
        <v>0.3923611111111111</v>
      </c>
      <c r="M2149" s="6" t="s">
        <v>3264</v>
      </c>
      <c r="N2149" s="6" t="s">
        <v>21</v>
      </c>
      <c r="O2149" s="6" t="s">
        <v>22</v>
      </c>
    </row>
    <row r="2150" spans="1:15" hidden="1">
      <c r="A2150" s="3" t="s">
        <v>15</v>
      </c>
      <c r="B2150" s="3" t="str">
        <f>"009935723270"</f>
        <v>009935723270</v>
      </c>
      <c r="C2150" s="4">
        <v>43601</v>
      </c>
      <c r="D2150" s="3">
        <v>1</v>
      </c>
      <c r="E2150" s="3">
        <v>1162690074</v>
      </c>
      <c r="F2150" s="3" t="s">
        <v>16</v>
      </c>
      <c r="G2150" s="3" t="s">
        <v>17</v>
      </c>
      <c r="H2150" s="3" t="s">
        <v>141</v>
      </c>
      <c r="I2150" s="3" t="s">
        <v>448</v>
      </c>
      <c r="J2150" s="3" t="s">
        <v>449</v>
      </c>
      <c r="K2150" s="4">
        <v>43602</v>
      </c>
      <c r="L2150" s="5">
        <v>0.35625000000000001</v>
      </c>
      <c r="M2150" s="3" t="s">
        <v>3265</v>
      </c>
      <c r="N2150" s="3" t="s">
        <v>21</v>
      </c>
      <c r="O2150" s="3" t="s">
        <v>287</v>
      </c>
    </row>
    <row r="2151" spans="1:15">
      <c r="A2151" s="14" t="s">
        <v>15</v>
      </c>
      <c r="B2151" s="14" t="str">
        <f>"009935791898"</f>
        <v>009935791898</v>
      </c>
      <c r="C2151" s="15">
        <v>43601</v>
      </c>
      <c r="D2151" s="14">
        <v>1</v>
      </c>
      <c r="E2151" s="14" t="s">
        <v>3266</v>
      </c>
      <c r="F2151" s="14" t="s">
        <v>16</v>
      </c>
      <c r="G2151" s="14" t="s">
        <v>17</v>
      </c>
      <c r="H2151" s="14" t="s">
        <v>17</v>
      </c>
      <c r="I2151" s="14" t="s">
        <v>64</v>
      </c>
      <c r="J2151" s="14" t="s">
        <v>3267</v>
      </c>
      <c r="K2151" s="15">
        <v>43602</v>
      </c>
      <c r="L2151" s="16">
        <v>0.41111111111111115</v>
      </c>
      <c r="M2151" s="14" t="s">
        <v>3268</v>
      </c>
      <c r="N2151" s="14" t="s">
        <v>21</v>
      </c>
      <c r="O2151" s="14" t="s">
        <v>22</v>
      </c>
    </row>
    <row r="2152" spans="1:15">
      <c r="A2152" s="6" t="s">
        <v>15</v>
      </c>
      <c r="B2152" s="6" t="str">
        <f>"FES1162690223"</f>
        <v>FES1162690223</v>
      </c>
      <c r="C2152" s="7">
        <v>43601</v>
      </c>
      <c r="D2152" s="6">
        <v>1</v>
      </c>
      <c r="E2152" s="6">
        <v>2170682703</v>
      </c>
      <c r="F2152" s="6" t="s">
        <v>16</v>
      </c>
      <c r="G2152" s="6" t="s">
        <v>17</v>
      </c>
      <c r="H2152" s="6" t="s">
        <v>17</v>
      </c>
      <c r="I2152" s="6" t="s">
        <v>18</v>
      </c>
      <c r="J2152" s="6" t="s">
        <v>2036</v>
      </c>
      <c r="K2152" s="7">
        <v>43602</v>
      </c>
      <c r="L2152" s="8">
        <v>0.36319444444444443</v>
      </c>
      <c r="M2152" s="6" t="s">
        <v>1643</v>
      </c>
      <c r="N2152" s="6" t="s">
        <v>21</v>
      </c>
      <c r="O2152" s="6" t="s">
        <v>22</v>
      </c>
    </row>
    <row r="2153" spans="1:15" hidden="1">
      <c r="A2153" t="s">
        <v>15</v>
      </c>
      <c r="B2153" t="str">
        <f>"FES1162690177"</f>
        <v>FES1162690177</v>
      </c>
      <c r="C2153" s="9">
        <v>43601</v>
      </c>
      <c r="D2153">
        <v>1</v>
      </c>
      <c r="E2153">
        <v>2170688466</v>
      </c>
      <c r="F2153" t="s">
        <v>16</v>
      </c>
      <c r="G2153" t="s">
        <v>17</v>
      </c>
      <c r="H2153" t="s">
        <v>32</v>
      </c>
      <c r="I2153" t="s">
        <v>33</v>
      </c>
      <c r="J2153" t="s">
        <v>1438</v>
      </c>
      <c r="K2153" s="9">
        <v>43605</v>
      </c>
      <c r="L2153" s="10">
        <v>0.39583333333333331</v>
      </c>
      <c r="M2153" t="s">
        <v>1439</v>
      </c>
      <c r="N2153" t="s">
        <v>3269</v>
      </c>
      <c r="O2153" t="s">
        <v>22</v>
      </c>
    </row>
    <row r="2154" spans="1:15" hidden="1">
      <c r="A2154" t="s">
        <v>15</v>
      </c>
      <c r="B2154" t="str">
        <f>"FES1162690241"</f>
        <v>FES1162690241</v>
      </c>
      <c r="C2154" s="9">
        <v>43601</v>
      </c>
      <c r="D2154">
        <v>1</v>
      </c>
      <c r="E2154">
        <v>2170688659</v>
      </c>
      <c r="F2154" t="s">
        <v>16</v>
      </c>
      <c r="G2154" t="s">
        <v>17</v>
      </c>
      <c r="H2154" t="s">
        <v>32</v>
      </c>
      <c r="I2154" t="s">
        <v>33</v>
      </c>
      <c r="J2154" t="s">
        <v>360</v>
      </c>
      <c r="K2154" s="9">
        <v>43602</v>
      </c>
      <c r="L2154" s="10">
        <v>0.36458333333333331</v>
      </c>
      <c r="M2154" t="s">
        <v>1727</v>
      </c>
      <c r="N2154" t="s">
        <v>3270</v>
      </c>
      <c r="O2154" t="s">
        <v>22</v>
      </c>
    </row>
    <row r="2155" spans="1:15" hidden="1">
      <c r="A2155" t="s">
        <v>15</v>
      </c>
      <c r="B2155" t="str">
        <f>"FES1162690203"</f>
        <v>FES1162690203</v>
      </c>
      <c r="C2155" s="9">
        <v>43601</v>
      </c>
      <c r="D2155">
        <v>1</v>
      </c>
      <c r="E2155">
        <v>2170688634</v>
      </c>
      <c r="F2155" t="s">
        <v>16</v>
      </c>
      <c r="G2155" t="s">
        <v>17</v>
      </c>
      <c r="H2155" t="s">
        <v>32</v>
      </c>
      <c r="I2155" t="s">
        <v>1198</v>
      </c>
      <c r="J2155" t="s">
        <v>1199</v>
      </c>
      <c r="K2155" t="s">
        <v>1730</v>
      </c>
      <c r="L2155"/>
      <c r="M2155" t="s">
        <v>1731</v>
      </c>
      <c r="N2155" t="s">
        <v>3271</v>
      </c>
      <c r="O2155" t="s">
        <v>22</v>
      </c>
    </row>
    <row r="2156" spans="1:15" hidden="1">
      <c r="A2156" t="s">
        <v>15</v>
      </c>
      <c r="B2156" t="str">
        <f>"FES1162690192"</f>
        <v>FES1162690192</v>
      </c>
      <c r="C2156" s="9">
        <v>43601</v>
      </c>
      <c r="D2156">
        <v>1</v>
      </c>
      <c r="E2156">
        <v>2170688623</v>
      </c>
      <c r="F2156" t="s">
        <v>16</v>
      </c>
      <c r="G2156" t="s">
        <v>17</v>
      </c>
      <c r="H2156" t="s">
        <v>43</v>
      </c>
      <c r="I2156" t="s">
        <v>75</v>
      </c>
      <c r="J2156" t="s">
        <v>811</v>
      </c>
      <c r="K2156" s="9">
        <v>43602</v>
      </c>
      <c r="L2156" s="10">
        <v>0.4826388888888889</v>
      </c>
      <c r="M2156" t="s">
        <v>3272</v>
      </c>
      <c r="N2156" t="s">
        <v>3273</v>
      </c>
      <c r="O2156" t="s">
        <v>22</v>
      </c>
    </row>
    <row r="2157" spans="1:15" hidden="1">
      <c r="A2157" t="s">
        <v>15</v>
      </c>
      <c r="B2157" t="str">
        <f>"FES1162690320"</f>
        <v>FES1162690320</v>
      </c>
      <c r="C2157" s="9">
        <v>43601</v>
      </c>
      <c r="D2157">
        <v>1</v>
      </c>
      <c r="E2157">
        <v>2170688764</v>
      </c>
      <c r="F2157" t="s">
        <v>16</v>
      </c>
      <c r="G2157" t="s">
        <v>17</v>
      </c>
      <c r="H2157" t="s">
        <v>132</v>
      </c>
      <c r="I2157" t="s">
        <v>133</v>
      </c>
      <c r="J2157" t="s">
        <v>3274</v>
      </c>
      <c r="K2157" s="9">
        <v>43602</v>
      </c>
      <c r="L2157" s="10">
        <v>0.41666666666666669</v>
      </c>
      <c r="M2157" t="s">
        <v>3275</v>
      </c>
      <c r="N2157" t="s">
        <v>3276</v>
      </c>
      <c r="O2157" t="s">
        <v>22</v>
      </c>
    </row>
    <row r="2158" spans="1:15" hidden="1">
      <c r="A2158" s="14" t="s">
        <v>15</v>
      </c>
      <c r="B2158" s="14" t="str">
        <f>"FES1162690321"</f>
        <v>FES1162690321</v>
      </c>
      <c r="C2158" s="15">
        <v>43601</v>
      </c>
      <c r="D2158" s="14">
        <v>1</v>
      </c>
      <c r="E2158" s="14">
        <v>2170688765</v>
      </c>
      <c r="F2158" s="14" t="s">
        <v>16</v>
      </c>
      <c r="G2158" s="14" t="s">
        <v>17</v>
      </c>
      <c r="H2158" s="14" t="s">
        <v>32</v>
      </c>
      <c r="I2158" s="14" t="s">
        <v>33</v>
      </c>
      <c r="J2158" s="14" t="s">
        <v>357</v>
      </c>
      <c r="K2158" s="15">
        <v>43602</v>
      </c>
      <c r="L2158" s="16">
        <v>0.43055555555555558</v>
      </c>
      <c r="M2158" s="14" t="s">
        <v>1595</v>
      </c>
      <c r="N2158" s="14" t="s">
        <v>21</v>
      </c>
      <c r="O2158" s="14" t="s">
        <v>22</v>
      </c>
    </row>
    <row r="2159" spans="1:15">
      <c r="A2159" s="6" t="s">
        <v>15</v>
      </c>
      <c r="B2159" s="6" t="str">
        <f>"FES1162690314"</f>
        <v>FES1162690314</v>
      </c>
      <c r="C2159" s="7">
        <v>43601</v>
      </c>
      <c r="D2159" s="6">
        <v>1</v>
      </c>
      <c r="E2159" s="6">
        <v>2170688756</v>
      </c>
      <c r="F2159" s="6" t="s">
        <v>16</v>
      </c>
      <c r="G2159" s="6" t="s">
        <v>17</v>
      </c>
      <c r="H2159" s="6" t="s">
        <v>17</v>
      </c>
      <c r="I2159" s="6" t="s">
        <v>18</v>
      </c>
      <c r="J2159" s="6" t="s">
        <v>3277</v>
      </c>
      <c r="K2159" s="7">
        <v>43602</v>
      </c>
      <c r="L2159" s="8">
        <v>0.42708333333333331</v>
      </c>
      <c r="M2159" s="6" t="s">
        <v>3278</v>
      </c>
      <c r="N2159" s="6" t="s">
        <v>21</v>
      </c>
      <c r="O2159" s="6" t="s">
        <v>22</v>
      </c>
    </row>
    <row r="2160" spans="1:15" hidden="1">
      <c r="A2160" t="s">
        <v>15</v>
      </c>
      <c r="B2160" t="str">
        <f>"FES1162690164"</f>
        <v>FES1162690164</v>
      </c>
      <c r="C2160" s="9">
        <v>43601</v>
      </c>
      <c r="D2160">
        <v>1</v>
      </c>
      <c r="E2160">
        <v>2170687294</v>
      </c>
      <c r="F2160" t="s">
        <v>16</v>
      </c>
      <c r="G2160" t="s">
        <v>17</v>
      </c>
      <c r="H2160" t="s">
        <v>290</v>
      </c>
      <c r="I2160" t="s">
        <v>291</v>
      </c>
      <c r="J2160" t="s">
        <v>1187</v>
      </c>
      <c r="K2160" s="9">
        <v>43602</v>
      </c>
      <c r="L2160" s="10">
        <v>0.38194444444444442</v>
      </c>
      <c r="M2160" t="s">
        <v>2560</v>
      </c>
      <c r="N2160" t="s">
        <v>3279</v>
      </c>
      <c r="O2160" t="s">
        <v>22</v>
      </c>
    </row>
    <row r="2161" spans="1:15" hidden="1">
      <c r="A2161" t="s">
        <v>15</v>
      </c>
      <c r="B2161" t="str">
        <f>"FES1162690205"</f>
        <v>FES1162690205</v>
      </c>
      <c r="C2161" s="9">
        <v>43601</v>
      </c>
      <c r="D2161">
        <v>1</v>
      </c>
      <c r="E2161">
        <v>2170688644</v>
      </c>
      <c r="F2161" t="s">
        <v>16</v>
      </c>
      <c r="G2161" t="s">
        <v>17</v>
      </c>
      <c r="H2161" t="s">
        <v>290</v>
      </c>
      <c r="I2161" t="s">
        <v>291</v>
      </c>
      <c r="J2161" t="s">
        <v>609</v>
      </c>
      <c r="K2161" s="9">
        <v>43602</v>
      </c>
      <c r="L2161" s="10">
        <v>0.41666666666666669</v>
      </c>
      <c r="M2161" t="s">
        <v>3280</v>
      </c>
      <c r="N2161" t="s">
        <v>3281</v>
      </c>
      <c r="O2161" t="s">
        <v>22</v>
      </c>
    </row>
    <row r="2162" spans="1:15" hidden="1">
      <c r="A2162" t="s">
        <v>15</v>
      </c>
      <c r="B2162" t="str">
        <f>"FES1162690176"</f>
        <v>FES1162690176</v>
      </c>
      <c r="C2162" s="9">
        <v>43601</v>
      </c>
      <c r="D2162">
        <v>1</v>
      </c>
      <c r="E2162">
        <v>2170688368</v>
      </c>
      <c r="F2162" t="s">
        <v>16</v>
      </c>
      <c r="G2162" t="s">
        <v>17</v>
      </c>
      <c r="H2162" t="s">
        <v>290</v>
      </c>
      <c r="I2162" t="s">
        <v>316</v>
      </c>
      <c r="J2162" t="s">
        <v>317</v>
      </c>
      <c r="K2162" s="9">
        <v>43602</v>
      </c>
      <c r="L2162" s="10">
        <v>0.54166666666666663</v>
      </c>
      <c r="M2162" t="s">
        <v>3282</v>
      </c>
      <c r="N2162" t="s">
        <v>3283</v>
      </c>
      <c r="O2162" t="s">
        <v>22</v>
      </c>
    </row>
    <row r="2163" spans="1:15" hidden="1">
      <c r="A2163" t="s">
        <v>15</v>
      </c>
      <c r="B2163" t="str">
        <f>"FES1162690151"</f>
        <v>FES1162690151</v>
      </c>
      <c r="C2163" s="9">
        <v>43601</v>
      </c>
      <c r="D2163">
        <v>1</v>
      </c>
      <c r="E2163">
        <v>2170684909</v>
      </c>
      <c r="F2163" t="s">
        <v>16</v>
      </c>
      <c r="G2163" t="s">
        <v>17</v>
      </c>
      <c r="H2163" t="s">
        <v>290</v>
      </c>
      <c r="I2163" t="s">
        <v>601</v>
      </c>
      <c r="J2163" t="s">
        <v>602</v>
      </c>
      <c r="K2163" s="9">
        <v>43605</v>
      </c>
      <c r="L2163" s="10">
        <v>0.58750000000000002</v>
      </c>
      <c r="M2163" t="s">
        <v>3284</v>
      </c>
      <c r="N2163" t="s">
        <v>3285</v>
      </c>
      <c r="O2163" t="s">
        <v>22</v>
      </c>
    </row>
    <row r="2164" spans="1:15" hidden="1">
      <c r="A2164" t="s">
        <v>15</v>
      </c>
      <c r="B2164" t="str">
        <f>"FES1162690211"</f>
        <v>FES1162690211</v>
      </c>
      <c r="C2164" s="9">
        <v>43601</v>
      </c>
      <c r="D2164">
        <v>1</v>
      </c>
      <c r="E2164">
        <v>2170687269</v>
      </c>
      <c r="F2164" t="s">
        <v>16</v>
      </c>
      <c r="G2164" t="s">
        <v>17</v>
      </c>
      <c r="H2164" t="s">
        <v>290</v>
      </c>
      <c r="I2164" t="s">
        <v>291</v>
      </c>
      <c r="J2164" t="s">
        <v>3286</v>
      </c>
      <c r="K2164" s="9">
        <v>43602</v>
      </c>
      <c r="L2164" s="10">
        <v>0.32222222222222224</v>
      </c>
      <c r="M2164" t="s">
        <v>3287</v>
      </c>
      <c r="N2164" t="s">
        <v>3288</v>
      </c>
      <c r="O2164" t="s">
        <v>22</v>
      </c>
    </row>
    <row r="2165" spans="1:15" hidden="1">
      <c r="A2165" t="s">
        <v>15</v>
      </c>
      <c r="B2165" t="str">
        <f>"FES1162690159"</f>
        <v>FES1162690159</v>
      </c>
      <c r="C2165" s="9">
        <v>43601</v>
      </c>
      <c r="D2165">
        <v>1</v>
      </c>
      <c r="E2165">
        <v>2170690159</v>
      </c>
      <c r="F2165" t="s">
        <v>16</v>
      </c>
      <c r="G2165" t="s">
        <v>17</v>
      </c>
      <c r="H2165" t="s">
        <v>290</v>
      </c>
      <c r="I2165" t="s">
        <v>291</v>
      </c>
      <c r="J2165" t="s">
        <v>709</v>
      </c>
      <c r="K2165" s="9">
        <v>43602</v>
      </c>
      <c r="L2165" s="10">
        <v>0.33333333333333331</v>
      </c>
      <c r="M2165" t="s">
        <v>3289</v>
      </c>
      <c r="N2165" t="s">
        <v>3290</v>
      </c>
      <c r="O2165" t="s">
        <v>22</v>
      </c>
    </row>
    <row r="2166" spans="1:15" hidden="1">
      <c r="A2166" t="s">
        <v>15</v>
      </c>
      <c r="B2166" t="str">
        <f>"FES1162690157"</f>
        <v>FES1162690157</v>
      </c>
      <c r="C2166" s="9">
        <v>43601</v>
      </c>
      <c r="D2166">
        <v>1</v>
      </c>
      <c r="E2166">
        <v>2170686387</v>
      </c>
      <c r="F2166" t="s">
        <v>16</v>
      </c>
      <c r="G2166" t="s">
        <v>17</v>
      </c>
      <c r="H2166" t="s">
        <v>290</v>
      </c>
      <c r="I2166" t="s">
        <v>309</v>
      </c>
      <c r="J2166" t="s">
        <v>310</v>
      </c>
      <c r="K2166" s="9">
        <v>43602</v>
      </c>
      <c r="L2166" s="10">
        <v>0.39583333333333331</v>
      </c>
      <c r="M2166" t="s">
        <v>311</v>
      </c>
      <c r="N2166" t="s">
        <v>3291</v>
      </c>
      <c r="O2166" t="s">
        <v>22</v>
      </c>
    </row>
    <row r="2167" spans="1:15" hidden="1">
      <c r="A2167" t="s">
        <v>15</v>
      </c>
      <c r="B2167" t="str">
        <f>"FES1162690260"</f>
        <v>FES1162690260</v>
      </c>
      <c r="C2167" s="9">
        <v>43601</v>
      </c>
      <c r="D2167">
        <v>1</v>
      </c>
      <c r="E2167">
        <v>2170688693</v>
      </c>
      <c r="F2167" t="s">
        <v>16</v>
      </c>
      <c r="G2167" t="s">
        <v>17</v>
      </c>
      <c r="H2167" t="s">
        <v>300</v>
      </c>
      <c r="I2167" t="s">
        <v>301</v>
      </c>
      <c r="J2167" t="s">
        <v>3292</v>
      </c>
      <c r="K2167" s="9">
        <v>43602</v>
      </c>
      <c r="L2167" s="10">
        <v>0.43055555555555558</v>
      </c>
      <c r="M2167" t="s">
        <v>3293</v>
      </c>
      <c r="N2167" t="s">
        <v>3294</v>
      </c>
      <c r="O2167" t="s">
        <v>22</v>
      </c>
    </row>
    <row r="2168" spans="1:15" hidden="1">
      <c r="A2168" s="14" t="s">
        <v>15</v>
      </c>
      <c r="B2168" s="14" t="str">
        <f>"FES1162690273"</f>
        <v>FES1162690273</v>
      </c>
      <c r="C2168" s="15">
        <v>43601</v>
      </c>
      <c r="D2168" s="14">
        <v>1</v>
      </c>
      <c r="E2168" s="14">
        <v>2170688712</v>
      </c>
      <c r="F2168" s="14" t="s">
        <v>16</v>
      </c>
      <c r="G2168" s="14" t="s">
        <v>17</v>
      </c>
      <c r="H2168" s="14" t="s">
        <v>290</v>
      </c>
      <c r="I2168" s="14" t="s">
        <v>309</v>
      </c>
      <c r="J2168" s="14" t="s">
        <v>1037</v>
      </c>
      <c r="K2168" s="15">
        <v>43602</v>
      </c>
      <c r="L2168" s="16">
        <v>0.36249999999999999</v>
      </c>
      <c r="M2168" s="14" t="s">
        <v>1745</v>
      </c>
      <c r="N2168" s="14" t="s">
        <v>21</v>
      </c>
      <c r="O2168" s="14" t="s">
        <v>22</v>
      </c>
    </row>
    <row r="2169" spans="1:15">
      <c r="A2169" s="6" t="s">
        <v>15</v>
      </c>
      <c r="B2169" s="6" t="str">
        <f>"FES1162690232"</f>
        <v>FES1162690232</v>
      </c>
      <c r="C2169" s="7">
        <v>43601</v>
      </c>
      <c r="D2169" s="6">
        <v>1</v>
      </c>
      <c r="E2169" s="6">
        <v>2170687249</v>
      </c>
      <c r="F2169" s="6" t="s">
        <v>16</v>
      </c>
      <c r="G2169" s="6" t="s">
        <v>17</v>
      </c>
      <c r="H2169" s="6" t="s">
        <v>17</v>
      </c>
      <c r="I2169" s="6" t="s">
        <v>67</v>
      </c>
      <c r="J2169" s="6" t="s">
        <v>1455</v>
      </c>
      <c r="K2169" s="7">
        <v>43602</v>
      </c>
      <c r="L2169" s="8">
        <v>0.33333333333333331</v>
      </c>
      <c r="M2169" s="6" t="s">
        <v>3264</v>
      </c>
      <c r="N2169" s="6" t="s">
        <v>21</v>
      </c>
      <c r="O2169" s="6" t="s">
        <v>22</v>
      </c>
    </row>
    <row r="2170" spans="1:15" hidden="1">
      <c r="A2170" t="s">
        <v>15</v>
      </c>
      <c r="B2170" t="str">
        <f>"FES1162690266"</f>
        <v>FES1162690266</v>
      </c>
      <c r="C2170" s="9">
        <v>43601</v>
      </c>
      <c r="D2170">
        <v>1</v>
      </c>
      <c r="E2170">
        <v>2170688701</v>
      </c>
      <c r="F2170" t="s">
        <v>16</v>
      </c>
      <c r="G2170" t="s">
        <v>17</v>
      </c>
      <c r="H2170" t="s">
        <v>290</v>
      </c>
      <c r="I2170" t="s">
        <v>291</v>
      </c>
      <c r="J2170" t="s">
        <v>2577</v>
      </c>
      <c r="K2170" s="9">
        <v>43602</v>
      </c>
      <c r="L2170" s="10">
        <v>0.4375</v>
      </c>
      <c r="M2170" t="s">
        <v>3295</v>
      </c>
      <c r="N2170" t="s">
        <v>3296</v>
      </c>
      <c r="O2170" t="s">
        <v>22</v>
      </c>
    </row>
    <row r="2171" spans="1:15" hidden="1">
      <c r="A2171" t="s">
        <v>15</v>
      </c>
      <c r="B2171" t="str">
        <f>"FES1162690247"</f>
        <v>FES1162690247</v>
      </c>
      <c r="C2171" s="9">
        <v>43601</v>
      </c>
      <c r="D2171">
        <v>1</v>
      </c>
      <c r="E2171">
        <v>2170688673</v>
      </c>
      <c r="F2171" t="s">
        <v>16</v>
      </c>
      <c r="G2171" t="s">
        <v>17</v>
      </c>
      <c r="H2171" t="s">
        <v>43</v>
      </c>
      <c r="I2171" t="s">
        <v>44</v>
      </c>
      <c r="J2171" t="s">
        <v>353</v>
      </c>
      <c r="K2171" s="9">
        <v>43602</v>
      </c>
      <c r="L2171" s="10">
        <v>0.36944444444444446</v>
      </c>
      <c r="M2171" t="s">
        <v>1757</v>
      </c>
      <c r="N2171" t="s">
        <v>3297</v>
      </c>
      <c r="O2171" t="s">
        <v>22</v>
      </c>
    </row>
    <row r="2172" spans="1:15" hidden="1">
      <c r="A2172" t="s">
        <v>15</v>
      </c>
      <c r="B2172" t="str">
        <f>"FES1162690153"</f>
        <v>FES1162690153</v>
      </c>
      <c r="C2172" s="9">
        <v>43601</v>
      </c>
      <c r="D2172">
        <v>1</v>
      </c>
      <c r="E2172">
        <v>2170685530</v>
      </c>
      <c r="F2172" t="s">
        <v>16</v>
      </c>
      <c r="G2172" t="s">
        <v>17</v>
      </c>
      <c r="H2172" t="s">
        <v>43</v>
      </c>
      <c r="I2172" t="s">
        <v>44</v>
      </c>
      <c r="J2172" t="s">
        <v>72</v>
      </c>
      <c r="K2172" s="9">
        <v>43602</v>
      </c>
      <c r="L2172" s="10">
        <v>0.37777777777777777</v>
      </c>
      <c r="M2172" t="s">
        <v>1100</v>
      </c>
      <c r="N2172" t="s">
        <v>3298</v>
      </c>
      <c r="O2172" t="s">
        <v>22</v>
      </c>
    </row>
    <row r="2173" spans="1:15" hidden="1">
      <c r="A2173" t="s">
        <v>15</v>
      </c>
      <c r="B2173" t="str">
        <f>"FES1162690274"</f>
        <v>FES1162690274</v>
      </c>
      <c r="C2173" s="9">
        <v>43601</v>
      </c>
      <c r="D2173">
        <v>1</v>
      </c>
      <c r="E2173">
        <v>2170688713</v>
      </c>
      <c r="F2173" t="s">
        <v>16</v>
      </c>
      <c r="G2173" t="s">
        <v>17</v>
      </c>
      <c r="H2173" t="s">
        <v>43</v>
      </c>
      <c r="I2173" t="s">
        <v>44</v>
      </c>
      <c r="J2173" t="s">
        <v>48</v>
      </c>
      <c r="K2173" s="9">
        <v>43602</v>
      </c>
      <c r="L2173" s="10">
        <v>0.31597222222222221</v>
      </c>
      <c r="M2173" t="s">
        <v>3253</v>
      </c>
      <c r="N2173" t="s">
        <v>3299</v>
      </c>
      <c r="O2173" t="s">
        <v>22</v>
      </c>
    </row>
    <row r="2174" spans="1:15" hidden="1">
      <c r="A2174" t="s">
        <v>15</v>
      </c>
      <c r="B2174" t="str">
        <f>"FES1162690272"</f>
        <v>FES1162690272</v>
      </c>
      <c r="C2174" s="9">
        <v>43601</v>
      </c>
      <c r="D2174">
        <v>1</v>
      </c>
      <c r="E2174">
        <v>2170688711</v>
      </c>
      <c r="F2174" t="s">
        <v>16</v>
      </c>
      <c r="G2174" t="s">
        <v>17</v>
      </c>
      <c r="H2174" t="s">
        <v>43</v>
      </c>
      <c r="I2174" t="s">
        <v>44</v>
      </c>
      <c r="J2174" t="s">
        <v>51</v>
      </c>
      <c r="K2174" s="9">
        <v>43602</v>
      </c>
      <c r="L2174" s="10">
        <v>0.31736111111111115</v>
      </c>
      <c r="M2174" t="s">
        <v>2998</v>
      </c>
      <c r="N2174" t="s">
        <v>3300</v>
      </c>
      <c r="O2174" t="s">
        <v>22</v>
      </c>
    </row>
    <row r="2175" spans="1:15" hidden="1">
      <c r="A2175" t="s">
        <v>15</v>
      </c>
      <c r="B2175" t="str">
        <f>"FES1162690209"</f>
        <v>FES1162690209</v>
      </c>
      <c r="C2175" s="9">
        <v>43601</v>
      </c>
      <c r="D2175">
        <v>1</v>
      </c>
      <c r="E2175">
        <v>2170679249</v>
      </c>
      <c r="F2175" t="s">
        <v>16</v>
      </c>
      <c r="G2175" t="s">
        <v>17</v>
      </c>
      <c r="H2175" t="s">
        <v>32</v>
      </c>
      <c r="I2175" t="s">
        <v>33</v>
      </c>
      <c r="J2175" t="s">
        <v>3223</v>
      </c>
      <c r="K2175" s="9">
        <v>43602</v>
      </c>
      <c r="L2175" s="10">
        <v>0.3444444444444445</v>
      </c>
      <c r="M2175" t="s">
        <v>3301</v>
      </c>
      <c r="N2175" t="s">
        <v>3302</v>
      </c>
      <c r="O2175" t="s">
        <v>22</v>
      </c>
    </row>
    <row r="2176" spans="1:15" hidden="1">
      <c r="A2176" t="s">
        <v>15</v>
      </c>
      <c r="B2176" t="str">
        <f>"FES1162690161"</f>
        <v>FES1162690161</v>
      </c>
      <c r="C2176" s="9">
        <v>43601</v>
      </c>
      <c r="D2176">
        <v>1</v>
      </c>
      <c r="E2176">
        <v>2170686836</v>
      </c>
      <c r="F2176" t="s">
        <v>16</v>
      </c>
      <c r="G2176" t="s">
        <v>17</v>
      </c>
      <c r="H2176" t="s">
        <v>32</v>
      </c>
      <c r="I2176" t="s">
        <v>33</v>
      </c>
      <c r="J2176" t="s">
        <v>832</v>
      </c>
      <c r="K2176" s="9">
        <v>43602</v>
      </c>
      <c r="L2176" s="10">
        <v>0.39583333333333331</v>
      </c>
      <c r="M2176" t="s">
        <v>3008</v>
      </c>
      <c r="N2176" t="s">
        <v>3303</v>
      </c>
      <c r="O2176" t="s">
        <v>22</v>
      </c>
    </row>
    <row r="2177" spans="1:15" hidden="1">
      <c r="A2177" t="s">
        <v>15</v>
      </c>
      <c r="B2177" t="str">
        <f>"FES1162690251"</f>
        <v>FES1162690251</v>
      </c>
      <c r="C2177" s="9">
        <v>43601</v>
      </c>
      <c r="D2177">
        <v>1</v>
      </c>
      <c r="E2177">
        <v>2170688680</v>
      </c>
      <c r="F2177" t="s">
        <v>16</v>
      </c>
      <c r="G2177" t="s">
        <v>17</v>
      </c>
      <c r="H2177" t="s">
        <v>43</v>
      </c>
      <c r="I2177" t="s">
        <v>60</v>
      </c>
      <c r="J2177" t="s">
        <v>3304</v>
      </c>
      <c r="K2177" s="9">
        <v>43605</v>
      </c>
      <c r="L2177" s="10">
        <v>0.39374999999999999</v>
      </c>
      <c r="M2177" t="s">
        <v>79</v>
      </c>
      <c r="N2177" t="s">
        <v>3305</v>
      </c>
      <c r="O2177" t="s">
        <v>22</v>
      </c>
    </row>
    <row r="2178" spans="1:15" hidden="1">
      <c r="A2178" t="s">
        <v>15</v>
      </c>
      <c r="B2178" t="str">
        <f>"FES1162690265"</f>
        <v>FES1162690265</v>
      </c>
      <c r="C2178" s="9">
        <v>43601</v>
      </c>
      <c r="D2178">
        <v>1</v>
      </c>
      <c r="E2178">
        <v>2170688700</v>
      </c>
      <c r="F2178" t="s">
        <v>16</v>
      </c>
      <c r="G2178" t="s">
        <v>17</v>
      </c>
      <c r="H2178" t="s">
        <v>132</v>
      </c>
      <c r="I2178" t="s">
        <v>133</v>
      </c>
      <c r="J2178" t="s">
        <v>1008</v>
      </c>
      <c r="K2178" s="9">
        <v>43602</v>
      </c>
      <c r="L2178" s="10">
        <v>0.40972222222222227</v>
      </c>
      <c r="M2178" t="s">
        <v>3306</v>
      </c>
      <c r="N2178" t="s">
        <v>3307</v>
      </c>
      <c r="O2178" t="s">
        <v>22</v>
      </c>
    </row>
    <row r="2179" spans="1:15" hidden="1">
      <c r="A2179" t="s">
        <v>15</v>
      </c>
      <c r="B2179" t="str">
        <f>"FES1162690201"</f>
        <v>FES1162690201</v>
      </c>
      <c r="C2179" s="9">
        <v>43601</v>
      </c>
      <c r="D2179">
        <v>1</v>
      </c>
      <c r="E2179">
        <v>2170688642</v>
      </c>
      <c r="F2179" t="s">
        <v>16</v>
      </c>
      <c r="G2179" t="s">
        <v>17</v>
      </c>
      <c r="H2179" t="s">
        <v>32</v>
      </c>
      <c r="I2179" t="s">
        <v>33</v>
      </c>
      <c r="J2179" t="s">
        <v>778</v>
      </c>
      <c r="K2179" s="9">
        <v>43602</v>
      </c>
      <c r="L2179" s="10">
        <v>0.4152777777777778</v>
      </c>
      <c r="M2179" t="s">
        <v>3308</v>
      </c>
      <c r="N2179" t="s">
        <v>3309</v>
      </c>
      <c r="O2179" t="s">
        <v>22</v>
      </c>
    </row>
    <row r="2180" spans="1:15" hidden="1">
      <c r="A2180" t="s">
        <v>15</v>
      </c>
      <c r="B2180" t="str">
        <f>"FES1162690184"</f>
        <v>FES1162690184</v>
      </c>
      <c r="C2180" s="9">
        <v>43601</v>
      </c>
      <c r="D2180">
        <v>1</v>
      </c>
      <c r="E2180">
        <v>2170688611</v>
      </c>
      <c r="F2180" t="s">
        <v>16</v>
      </c>
      <c r="G2180" t="s">
        <v>17</v>
      </c>
      <c r="H2180" t="s">
        <v>32</v>
      </c>
      <c r="I2180" t="s">
        <v>33</v>
      </c>
      <c r="J2180" t="s">
        <v>360</v>
      </c>
      <c r="K2180" s="9">
        <v>43602</v>
      </c>
      <c r="L2180" s="10">
        <v>0.36458333333333331</v>
      </c>
      <c r="M2180" t="s">
        <v>1727</v>
      </c>
      <c r="N2180" t="s">
        <v>3310</v>
      </c>
      <c r="O2180" t="s">
        <v>22</v>
      </c>
    </row>
    <row r="2181" spans="1:15" hidden="1">
      <c r="A2181" t="s">
        <v>15</v>
      </c>
      <c r="B2181" t="str">
        <f>"FES1162690202"</f>
        <v>FES1162690202</v>
      </c>
      <c r="C2181" s="9">
        <v>43601</v>
      </c>
      <c r="D2181">
        <v>1</v>
      </c>
      <c r="E2181">
        <v>2170688643</v>
      </c>
      <c r="F2181" t="s">
        <v>16</v>
      </c>
      <c r="G2181" t="s">
        <v>17</v>
      </c>
      <c r="H2181" t="s">
        <v>43</v>
      </c>
      <c r="I2181" t="s">
        <v>44</v>
      </c>
      <c r="J2181" t="s">
        <v>48</v>
      </c>
      <c r="K2181" s="9">
        <v>43602</v>
      </c>
      <c r="L2181" s="10">
        <v>0.31597222222222221</v>
      </c>
      <c r="M2181" t="s">
        <v>3253</v>
      </c>
      <c r="N2181" t="s">
        <v>3311</v>
      </c>
      <c r="O2181" t="s">
        <v>22</v>
      </c>
    </row>
    <row r="2182" spans="1:15" hidden="1">
      <c r="A2182" t="s">
        <v>15</v>
      </c>
      <c r="B2182" t="str">
        <f>"FES1162690199"</f>
        <v>FES1162690199</v>
      </c>
      <c r="C2182" s="9">
        <v>43601</v>
      </c>
      <c r="D2182">
        <v>1</v>
      </c>
      <c r="E2182">
        <v>2170688639</v>
      </c>
      <c r="F2182" t="s">
        <v>16</v>
      </c>
      <c r="G2182" t="s">
        <v>17</v>
      </c>
      <c r="H2182" t="s">
        <v>43</v>
      </c>
      <c r="I2182" t="s">
        <v>44</v>
      </c>
      <c r="J2182" t="s">
        <v>986</v>
      </c>
      <c r="K2182" s="9">
        <v>43602</v>
      </c>
      <c r="L2182" s="10">
        <v>0.41111111111111115</v>
      </c>
      <c r="M2182" t="s">
        <v>784</v>
      </c>
      <c r="N2182" t="s">
        <v>3312</v>
      </c>
      <c r="O2182" t="s">
        <v>22</v>
      </c>
    </row>
    <row r="2183" spans="1:15" hidden="1">
      <c r="A2183" t="s">
        <v>15</v>
      </c>
      <c r="B2183" t="str">
        <f>"FES1162690296"</f>
        <v>FES1162690296</v>
      </c>
      <c r="C2183" s="9">
        <v>43601</v>
      </c>
      <c r="D2183">
        <v>1</v>
      </c>
      <c r="E2183">
        <v>2170688729</v>
      </c>
      <c r="F2183" t="s">
        <v>16</v>
      </c>
      <c r="G2183" t="s">
        <v>17</v>
      </c>
      <c r="H2183" t="s">
        <v>43</v>
      </c>
      <c r="I2183" t="s">
        <v>44</v>
      </c>
      <c r="J2183" t="s">
        <v>3313</v>
      </c>
      <c r="K2183" s="9">
        <v>43602</v>
      </c>
      <c r="L2183" s="10">
        <v>0.41666666666666669</v>
      </c>
      <c r="M2183" t="s">
        <v>3314</v>
      </c>
      <c r="N2183" t="s">
        <v>3315</v>
      </c>
      <c r="O2183" t="s">
        <v>22</v>
      </c>
    </row>
    <row r="2184" spans="1:15" hidden="1">
      <c r="A2184" t="s">
        <v>15</v>
      </c>
      <c r="B2184" t="str">
        <f>"FES1162690277"</f>
        <v>FES1162690277</v>
      </c>
      <c r="C2184" s="9">
        <v>43601</v>
      </c>
      <c r="D2184">
        <v>1</v>
      </c>
      <c r="E2184">
        <v>2170688720</v>
      </c>
      <c r="F2184" t="s">
        <v>16</v>
      </c>
      <c r="G2184" t="s">
        <v>17</v>
      </c>
      <c r="H2184" t="s">
        <v>322</v>
      </c>
      <c r="I2184" t="s">
        <v>618</v>
      </c>
      <c r="J2184" t="s">
        <v>619</v>
      </c>
      <c r="K2184" s="9">
        <v>43602</v>
      </c>
      <c r="L2184" s="10">
        <v>0.5</v>
      </c>
      <c r="M2184" t="s">
        <v>620</v>
      </c>
      <c r="N2184" t="s">
        <v>3316</v>
      </c>
      <c r="O2184" t="s">
        <v>22</v>
      </c>
    </row>
    <row r="2185" spans="1:15" hidden="1">
      <c r="A2185" t="s">
        <v>15</v>
      </c>
      <c r="B2185" t="str">
        <f>"FES1162690165"</f>
        <v>FES1162690165</v>
      </c>
      <c r="C2185" s="9">
        <v>43601</v>
      </c>
      <c r="D2185">
        <v>1</v>
      </c>
      <c r="E2185">
        <v>2170687295</v>
      </c>
      <c r="F2185" t="s">
        <v>16</v>
      </c>
      <c r="G2185" t="s">
        <v>17</v>
      </c>
      <c r="H2185" t="s">
        <v>43</v>
      </c>
      <c r="I2185" t="s">
        <v>44</v>
      </c>
      <c r="J2185" t="s">
        <v>207</v>
      </c>
      <c r="K2185" s="9">
        <v>43602</v>
      </c>
      <c r="L2185" s="10">
        <v>0.41666666666666669</v>
      </c>
      <c r="M2185" t="s">
        <v>3250</v>
      </c>
      <c r="N2185" t="s">
        <v>3317</v>
      </c>
      <c r="O2185" t="s">
        <v>22</v>
      </c>
    </row>
    <row r="2186" spans="1:15" hidden="1">
      <c r="A2186" t="s">
        <v>15</v>
      </c>
      <c r="B2186" t="str">
        <f>"FES1162690291"</f>
        <v>FES1162690291</v>
      </c>
      <c r="C2186" s="9">
        <v>43601</v>
      </c>
      <c r="D2186">
        <v>1</v>
      </c>
      <c r="E2186">
        <v>2170688737</v>
      </c>
      <c r="F2186" t="s">
        <v>16</v>
      </c>
      <c r="G2186" t="s">
        <v>17</v>
      </c>
      <c r="H2186" t="s">
        <v>322</v>
      </c>
      <c r="I2186" t="s">
        <v>618</v>
      </c>
      <c r="J2186" t="s">
        <v>619</v>
      </c>
      <c r="K2186" s="9">
        <v>43602</v>
      </c>
      <c r="L2186" s="10">
        <v>0.5</v>
      </c>
      <c r="M2186" t="s">
        <v>620</v>
      </c>
      <c r="N2186" t="s">
        <v>3318</v>
      </c>
      <c r="O2186" t="s">
        <v>22</v>
      </c>
    </row>
    <row r="2187" spans="1:15" hidden="1">
      <c r="A2187" t="s">
        <v>15</v>
      </c>
      <c r="B2187" t="str">
        <f>"FES1162690228"</f>
        <v>FES1162690228</v>
      </c>
      <c r="C2187" s="9">
        <v>43601</v>
      </c>
      <c r="D2187">
        <v>1</v>
      </c>
      <c r="E2187">
        <v>2170686408</v>
      </c>
      <c r="F2187" t="s">
        <v>16</v>
      </c>
      <c r="G2187" t="s">
        <v>17</v>
      </c>
      <c r="H2187" t="s">
        <v>43</v>
      </c>
      <c r="I2187" t="s">
        <v>75</v>
      </c>
      <c r="J2187" t="s">
        <v>3319</v>
      </c>
      <c r="K2187" s="9">
        <v>43602</v>
      </c>
      <c r="L2187" s="10">
        <v>0.45347222222222222</v>
      </c>
      <c r="M2187" t="s">
        <v>3320</v>
      </c>
      <c r="N2187" t="s">
        <v>3321</v>
      </c>
      <c r="O2187" t="s">
        <v>22</v>
      </c>
    </row>
    <row r="2188" spans="1:15" hidden="1">
      <c r="A2188" t="s">
        <v>15</v>
      </c>
      <c r="B2188" t="str">
        <f>"FES1162690297"</f>
        <v>FES1162690297</v>
      </c>
      <c r="C2188" s="9">
        <v>43601</v>
      </c>
      <c r="D2188">
        <v>1</v>
      </c>
      <c r="E2188">
        <v>2170688742</v>
      </c>
      <c r="F2188" t="s">
        <v>16</v>
      </c>
      <c r="G2188" t="s">
        <v>17</v>
      </c>
      <c r="H2188" t="s">
        <v>141</v>
      </c>
      <c r="I2188" t="s">
        <v>448</v>
      </c>
      <c r="J2188" t="s">
        <v>1178</v>
      </c>
      <c r="K2188" s="9">
        <v>43602</v>
      </c>
      <c r="L2188" s="10">
        <v>0.39583333333333331</v>
      </c>
      <c r="M2188" t="s">
        <v>3322</v>
      </c>
      <c r="N2188" t="s">
        <v>3323</v>
      </c>
      <c r="O2188" t="s">
        <v>22</v>
      </c>
    </row>
    <row r="2189" spans="1:15" hidden="1">
      <c r="A2189" t="s">
        <v>15</v>
      </c>
      <c r="B2189" t="str">
        <f>"FES1162690197"</f>
        <v>FES1162690197</v>
      </c>
      <c r="C2189" s="9">
        <v>43601</v>
      </c>
      <c r="D2189">
        <v>1</v>
      </c>
      <c r="E2189">
        <v>2170688636</v>
      </c>
      <c r="F2189" t="s">
        <v>16</v>
      </c>
      <c r="G2189" t="s">
        <v>17</v>
      </c>
      <c r="H2189" t="s">
        <v>43</v>
      </c>
      <c r="I2189" t="s">
        <v>807</v>
      </c>
      <c r="J2189" t="s">
        <v>808</v>
      </c>
      <c r="K2189" s="9">
        <v>43602</v>
      </c>
      <c r="L2189" s="10">
        <v>0.52916666666666667</v>
      </c>
      <c r="M2189" t="s">
        <v>1489</v>
      </c>
      <c r="N2189" t="s">
        <v>3324</v>
      </c>
      <c r="O2189" t="s">
        <v>22</v>
      </c>
    </row>
    <row r="2190" spans="1:15" hidden="1">
      <c r="A2190" t="s">
        <v>15</v>
      </c>
      <c r="B2190" t="str">
        <f>"FES1162690239"</f>
        <v>FES1162690239</v>
      </c>
      <c r="C2190" s="9">
        <v>43601</v>
      </c>
      <c r="D2190">
        <v>1</v>
      </c>
      <c r="E2190">
        <v>2170687712</v>
      </c>
      <c r="F2190" t="s">
        <v>16</v>
      </c>
      <c r="G2190" t="s">
        <v>17</v>
      </c>
      <c r="H2190" t="s">
        <v>43</v>
      </c>
      <c r="I2190" t="s">
        <v>44</v>
      </c>
      <c r="J2190" t="s">
        <v>1527</v>
      </c>
      <c r="K2190" s="9">
        <v>43602</v>
      </c>
      <c r="L2190" s="10">
        <v>0.41666666666666669</v>
      </c>
      <c r="M2190" t="s">
        <v>3325</v>
      </c>
      <c r="N2190" t="s">
        <v>3326</v>
      </c>
      <c r="O2190" t="s">
        <v>22</v>
      </c>
    </row>
    <row r="2191" spans="1:15" hidden="1">
      <c r="A2191" t="s">
        <v>15</v>
      </c>
      <c r="B2191" t="str">
        <f>"FES1162690309"</f>
        <v>FES1162690309</v>
      </c>
      <c r="C2191" s="9">
        <v>43601</v>
      </c>
      <c r="D2191">
        <v>1</v>
      </c>
      <c r="E2191">
        <v>2170688751</v>
      </c>
      <c r="F2191" t="s">
        <v>16</v>
      </c>
      <c r="G2191" t="s">
        <v>17</v>
      </c>
      <c r="H2191" t="s">
        <v>322</v>
      </c>
      <c r="I2191" t="s">
        <v>618</v>
      </c>
      <c r="J2191" t="s">
        <v>619</v>
      </c>
      <c r="K2191" s="9">
        <v>43602</v>
      </c>
      <c r="L2191" s="10">
        <v>0.5</v>
      </c>
      <c r="M2191" t="s">
        <v>620</v>
      </c>
      <c r="N2191" t="s">
        <v>3327</v>
      </c>
      <c r="O2191" t="s">
        <v>22</v>
      </c>
    </row>
    <row r="2192" spans="1:15" hidden="1">
      <c r="A2192" t="s">
        <v>15</v>
      </c>
      <c r="B2192" t="str">
        <f>"FES1162690270"</f>
        <v>FES1162690270</v>
      </c>
      <c r="C2192" s="9">
        <v>43601</v>
      </c>
      <c r="D2192">
        <v>1</v>
      </c>
      <c r="E2192">
        <v>2170688710</v>
      </c>
      <c r="F2192" t="s">
        <v>16</v>
      </c>
      <c r="G2192" t="s">
        <v>17</v>
      </c>
      <c r="H2192" t="s">
        <v>141</v>
      </c>
      <c r="I2192" t="s">
        <v>142</v>
      </c>
      <c r="J2192" t="s">
        <v>228</v>
      </c>
      <c r="K2192" s="9">
        <v>43602</v>
      </c>
      <c r="L2192" s="10">
        <v>0.38750000000000001</v>
      </c>
      <c r="M2192" t="s">
        <v>229</v>
      </c>
      <c r="N2192" t="s">
        <v>3328</v>
      </c>
      <c r="O2192" t="s">
        <v>22</v>
      </c>
    </row>
    <row r="2193" spans="1:15" hidden="1">
      <c r="A2193" t="s">
        <v>15</v>
      </c>
      <c r="B2193" t="str">
        <f>"FES1162690313"</f>
        <v>FES1162690313</v>
      </c>
      <c r="C2193" s="9">
        <v>43601</v>
      </c>
      <c r="D2193">
        <v>1</v>
      </c>
      <c r="E2193">
        <v>2170688755</v>
      </c>
      <c r="F2193" t="s">
        <v>16</v>
      </c>
      <c r="G2193" t="s">
        <v>17</v>
      </c>
      <c r="H2193" t="s">
        <v>132</v>
      </c>
      <c r="I2193" t="s">
        <v>133</v>
      </c>
      <c r="J2193" t="s">
        <v>238</v>
      </c>
      <c r="K2193" s="9">
        <v>43602</v>
      </c>
      <c r="L2193" s="10">
        <v>0.3347222222222222</v>
      </c>
      <c r="M2193" t="s">
        <v>989</v>
      </c>
      <c r="N2193" t="s">
        <v>3329</v>
      </c>
      <c r="O2193" t="s">
        <v>22</v>
      </c>
    </row>
    <row r="2194" spans="1:15" hidden="1">
      <c r="A2194" s="6" t="s">
        <v>15</v>
      </c>
      <c r="B2194" s="6" t="str">
        <f>"FES1162690275"</f>
        <v>FES1162690275</v>
      </c>
      <c r="C2194" s="7">
        <v>43601</v>
      </c>
      <c r="D2194" s="6">
        <v>1</v>
      </c>
      <c r="E2194" s="6">
        <v>2170688716</v>
      </c>
      <c r="F2194" s="6" t="s">
        <v>16</v>
      </c>
      <c r="G2194" s="6" t="s">
        <v>17</v>
      </c>
      <c r="H2194" s="6" t="s">
        <v>322</v>
      </c>
      <c r="I2194" s="6" t="s">
        <v>618</v>
      </c>
      <c r="J2194" s="6" t="s">
        <v>619</v>
      </c>
      <c r="K2194" s="7">
        <v>43602</v>
      </c>
      <c r="L2194" s="8">
        <v>0.5</v>
      </c>
      <c r="M2194" s="6" t="s">
        <v>620</v>
      </c>
      <c r="N2194" s="6" t="s">
        <v>21</v>
      </c>
      <c r="O2194" s="6" t="s">
        <v>22</v>
      </c>
    </row>
    <row r="2195" spans="1:15">
      <c r="A2195" s="14" t="s">
        <v>15</v>
      </c>
      <c r="B2195" s="14" t="str">
        <f>"FES1162690207"</f>
        <v>FES1162690207</v>
      </c>
      <c r="C2195" s="15">
        <v>43601</v>
      </c>
      <c r="D2195" s="14">
        <v>1</v>
      </c>
      <c r="E2195" s="14">
        <v>2170676054</v>
      </c>
      <c r="F2195" s="14" t="s">
        <v>16</v>
      </c>
      <c r="G2195" s="14" t="s">
        <v>17</v>
      </c>
      <c r="H2195" s="14" t="s">
        <v>17</v>
      </c>
      <c r="I2195" s="14" t="s">
        <v>103</v>
      </c>
      <c r="J2195" s="14" t="s">
        <v>3330</v>
      </c>
      <c r="K2195" s="15">
        <v>43606</v>
      </c>
      <c r="L2195" s="16">
        <v>0.4375</v>
      </c>
      <c r="M2195" s="14" t="s">
        <v>3331</v>
      </c>
      <c r="N2195" s="14" t="s">
        <v>21</v>
      </c>
      <c r="O2195" s="14" t="s">
        <v>22</v>
      </c>
    </row>
    <row r="2196" spans="1:15">
      <c r="A2196" s="6" t="s">
        <v>15</v>
      </c>
      <c r="B2196" s="6" t="str">
        <f>"FES1162690210"</f>
        <v>FES1162690210</v>
      </c>
      <c r="C2196" s="7">
        <v>43601</v>
      </c>
      <c r="D2196" s="6">
        <v>1</v>
      </c>
      <c r="E2196" s="6">
        <v>2170683649</v>
      </c>
      <c r="F2196" s="6" t="s">
        <v>16</v>
      </c>
      <c r="G2196" s="6" t="s">
        <v>17</v>
      </c>
      <c r="H2196" s="6" t="s">
        <v>17</v>
      </c>
      <c r="I2196" s="6" t="s">
        <v>103</v>
      </c>
      <c r="J2196" s="6" t="s">
        <v>3330</v>
      </c>
      <c r="K2196" s="7">
        <v>43606</v>
      </c>
      <c r="L2196" s="8">
        <v>0.29791666666666666</v>
      </c>
      <c r="M2196" s="6" t="s">
        <v>3331</v>
      </c>
      <c r="N2196" s="6" t="s">
        <v>21</v>
      </c>
      <c r="O2196" s="6" t="s">
        <v>22</v>
      </c>
    </row>
    <row r="2197" spans="1:15" hidden="1">
      <c r="A2197" t="s">
        <v>15</v>
      </c>
      <c r="B2197" t="str">
        <f>"FES1162690213"</f>
        <v>FES1162690213</v>
      </c>
      <c r="C2197" s="9">
        <v>43601</v>
      </c>
      <c r="D2197">
        <v>1</v>
      </c>
      <c r="E2197">
        <v>2170688649</v>
      </c>
      <c r="F2197" t="s">
        <v>16</v>
      </c>
      <c r="G2197" t="s">
        <v>17</v>
      </c>
      <c r="H2197" t="s">
        <v>141</v>
      </c>
      <c r="I2197" t="s">
        <v>458</v>
      </c>
      <c r="J2197" t="s">
        <v>3332</v>
      </c>
      <c r="K2197" s="9">
        <v>43602</v>
      </c>
      <c r="L2197" s="10">
        <v>0.34930555555555554</v>
      </c>
      <c r="M2197" t="s">
        <v>456</v>
      </c>
      <c r="N2197" t="s">
        <v>3333</v>
      </c>
      <c r="O2197" t="s">
        <v>22</v>
      </c>
    </row>
    <row r="2198" spans="1:15" hidden="1">
      <c r="A2198" t="s">
        <v>15</v>
      </c>
      <c r="B2198" t="str">
        <f>"FES1162690285"</f>
        <v>FES1162690285</v>
      </c>
      <c r="C2198" s="9">
        <v>43601</v>
      </c>
      <c r="D2198">
        <v>1</v>
      </c>
      <c r="E2198">
        <v>2170688728</v>
      </c>
      <c r="F2198" t="s">
        <v>16</v>
      </c>
      <c r="G2198" t="s">
        <v>17</v>
      </c>
      <c r="H2198" t="s">
        <v>32</v>
      </c>
      <c r="I2198" t="s">
        <v>33</v>
      </c>
      <c r="J2198" t="s">
        <v>357</v>
      </c>
      <c r="K2198" s="9">
        <v>43602</v>
      </c>
      <c r="L2198" s="10">
        <v>0.43055555555555558</v>
      </c>
      <c r="M2198" t="s">
        <v>2414</v>
      </c>
      <c r="N2198" t="s">
        <v>3334</v>
      </c>
      <c r="O2198" t="s">
        <v>22</v>
      </c>
    </row>
    <row r="2199" spans="1:15" hidden="1">
      <c r="A2199" t="s">
        <v>15</v>
      </c>
      <c r="B2199" t="str">
        <f>"FES1162690329"</f>
        <v>FES1162690329</v>
      </c>
      <c r="C2199" s="9">
        <v>43601</v>
      </c>
      <c r="D2199">
        <v>1</v>
      </c>
      <c r="E2199">
        <v>2170688773</v>
      </c>
      <c r="F2199" t="s">
        <v>16</v>
      </c>
      <c r="G2199" t="s">
        <v>17</v>
      </c>
      <c r="H2199" t="s">
        <v>59</v>
      </c>
      <c r="I2199" t="s">
        <v>414</v>
      </c>
      <c r="J2199" t="s">
        <v>3335</v>
      </c>
      <c r="K2199" s="9">
        <v>43602</v>
      </c>
      <c r="L2199" s="10">
        <v>0.33333333333333331</v>
      </c>
      <c r="M2199" t="s">
        <v>3336</v>
      </c>
      <c r="N2199" t="s">
        <v>3337</v>
      </c>
      <c r="O2199" t="s">
        <v>22</v>
      </c>
    </row>
    <row r="2200" spans="1:15" hidden="1">
      <c r="A2200" t="s">
        <v>15</v>
      </c>
      <c r="B2200" t="str">
        <f>"FES1162690305"</f>
        <v>FES1162690305</v>
      </c>
      <c r="C2200" s="9">
        <v>43601</v>
      </c>
      <c r="D2200">
        <v>1</v>
      </c>
      <c r="E2200">
        <v>2170688747</v>
      </c>
      <c r="F2200" t="s">
        <v>16</v>
      </c>
      <c r="G2200" t="s">
        <v>17</v>
      </c>
      <c r="H2200" t="s">
        <v>43</v>
      </c>
      <c r="I2200" t="s">
        <v>44</v>
      </c>
      <c r="J2200" t="s">
        <v>336</v>
      </c>
      <c r="K2200" s="9">
        <v>43602</v>
      </c>
      <c r="L2200" s="10">
        <v>0.34583333333333338</v>
      </c>
      <c r="M2200" t="s">
        <v>3032</v>
      </c>
      <c r="N2200" t="s">
        <v>3338</v>
      </c>
      <c r="O2200" t="s">
        <v>22</v>
      </c>
    </row>
    <row r="2201" spans="1:15" hidden="1">
      <c r="A2201" t="s">
        <v>15</v>
      </c>
      <c r="B2201" t="str">
        <f>"FES1162690292"</f>
        <v>FES1162690292</v>
      </c>
      <c r="C2201" s="9">
        <v>43601</v>
      </c>
      <c r="D2201">
        <v>1</v>
      </c>
      <c r="E2201">
        <v>2170688587</v>
      </c>
      <c r="F2201" t="s">
        <v>16</v>
      </c>
      <c r="G2201" t="s">
        <v>17</v>
      </c>
      <c r="H2201" t="s">
        <v>32</v>
      </c>
      <c r="I2201" t="s">
        <v>33</v>
      </c>
      <c r="J2201" t="s">
        <v>3339</v>
      </c>
      <c r="K2201" s="9">
        <v>43605</v>
      </c>
      <c r="L2201" t="s">
        <v>3340</v>
      </c>
      <c r="M2201" t="s">
        <v>3341</v>
      </c>
      <c r="N2201" t="s">
        <v>3342</v>
      </c>
      <c r="O2201" t="s">
        <v>22</v>
      </c>
    </row>
    <row r="2202" spans="1:15" hidden="1">
      <c r="A2202" t="s">
        <v>15</v>
      </c>
      <c r="B2202" t="str">
        <f>"FES1162690181"</f>
        <v>FES1162690181</v>
      </c>
      <c r="C2202" s="9">
        <v>43601</v>
      </c>
      <c r="D2202">
        <v>1</v>
      </c>
      <c r="E2202">
        <v>2170688606</v>
      </c>
      <c r="F2202" t="s">
        <v>16</v>
      </c>
      <c r="G2202" t="s">
        <v>17</v>
      </c>
      <c r="H2202" t="s">
        <v>32</v>
      </c>
      <c r="I2202" t="s">
        <v>342</v>
      </c>
      <c r="J2202" t="s">
        <v>949</v>
      </c>
      <c r="K2202" s="9">
        <v>43602</v>
      </c>
      <c r="L2202" s="10">
        <v>0.4861111111111111</v>
      </c>
      <c r="M2202" t="s">
        <v>3343</v>
      </c>
      <c r="N2202" t="s">
        <v>3344</v>
      </c>
      <c r="O2202" t="s">
        <v>22</v>
      </c>
    </row>
    <row r="2203" spans="1:15" hidden="1">
      <c r="A2203" t="s">
        <v>15</v>
      </c>
      <c r="B2203" t="str">
        <f>"FES1162690156"</f>
        <v>FES1162690156</v>
      </c>
      <c r="C2203" s="9">
        <v>43601</v>
      </c>
      <c r="D2203">
        <v>1</v>
      </c>
      <c r="E2203">
        <v>2170686208</v>
      </c>
      <c r="F2203" t="s">
        <v>16</v>
      </c>
      <c r="G2203" t="s">
        <v>17</v>
      </c>
      <c r="H2203" t="s">
        <v>43</v>
      </c>
      <c r="I2203" t="s">
        <v>44</v>
      </c>
      <c r="J2203" t="s">
        <v>72</v>
      </c>
      <c r="K2203" s="9">
        <v>43602</v>
      </c>
      <c r="L2203" s="10">
        <v>0.37847222222222227</v>
      </c>
      <c r="M2203" t="s">
        <v>1100</v>
      </c>
      <c r="N2203" t="s">
        <v>3345</v>
      </c>
      <c r="O2203" t="s">
        <v>22</v>
      </c>
    </row>
    <row r="2204" spans="1:15" hidden="1">
      <c r="A2204" t="s">
        <v>15</v>
      </c>
      <c r="B2204" t="str">
        <f>"FES1162690178"</f>
        <v>FES1162690178</v>
      </c>
      <c r="C2204" s="9">
        <v>43601</v>
      </c>
      <c r="D2204">
        <v>1</v>
      </c>
      <c r="E2204">
        <v>2170688490</v>
      </c>
      <c r="F2204" t="s">
        <v>16</v>
      </c>
      <c r="G2204" t="s">
        <v>17</v>
      </c>
      <c r="H2204" t="s">
        <v>141</v>
      </c>
      <c r="I2204" t="s">
        <v>464</v>
      </c>
      <c r="J2204" t="s">
        <v>3147</v>
      </c>
      <c r="K2204" s="9">
        <v>43602</v>
      </c>
      <c r="L2204" s="10">
        <v>0.42777777777777781</v>
      </c>
      <c r="M2204" t="s">
        <v>2438</v>
      </c>
      <c r="N2204" t="s">
        <v>3346</v>
      </c>
      <c r="O2204" t="s">
        <v>22</v>
      </c>
    </row>
    <row r="2205" spans="1:15" hidden="1">
      <c r="A2205" t="s">
        <v>15</v>
      </c>
      <c r="B2205" t="str">
        <f>"FES1162690188"</f>
        <v>FES1162690188</v>
      </c>
      <c r="C2205" s="9">
        <v>43601</v>
      </c>
      <c r="D2205">
        <v>1</v>
      </c>
      <c r="E2205">
        <v>2170688619</v>
      </c>
      <c r="F2205" t="s">
        <v>16</v>
      </c>
      <c r="G2205" t="s">
        <v>17</v>
      </c>
      <c r="H2205" t="s">
        <v>43</v>
      </c>
      <c r="I2205" t="s">
        <v>54</v>
      </c>
      <c r="J2205" t="s">
        <v>216</v>
      </c>
      <c r="K2205" s="9">
        <v>43602</v>
      </c>
      <c r="L2205" s="10">
        <v>0.41666666666666669</v>
      </c>
      <c r="M2205" t="s">
        <v>56</v>
      </c>
      <c r="N2205" t="s">
        <v>3347</v>
      </c>
      <c r="O2205" t="s">
        <v>22</v>
      </c>
    </row>
    <row r="2206" spans="1:15" hidden="1">
      <c r="A2206" t="s">
        <v>15</v>
      </c>
      <c r="B2206" t="str">
        <f>"FES1162690155"</f>
        <v>FES1162690155</v>
      </c>
      <c r="C2206" s="9">
        <v>43601</v>
      </c>
      <c r="D2206">
        <v>1</v>
      </c>
      <c r="E2206">
        <v>2170686091</v>
      </c>
      <c r="F2206" t="s">
        <v>16</v>
      </c>
      <c r="G2206" t="s">
        <v>17</v>
      </c>
      <c r="H2206" t="s">
        <v>132</v>
      </c>
      <c r="I2206" t="s">
        <v>3229</v>
      </c>
      <c r="J2206" t="s">
        <v>387</v>
      </c>
      <c r="K2206" s="9">
        <v>43602</v>
      </c>
      <c r="L2206" s="10">
        <v>0.45902777777777781</v>
      </c>
      <c r="M2206" t="s">
        <v>3230</v>
      </c>
      <c r="N2206" t="s">
        <v>3348</v>
      </c>
      <c r="O2206" t="s">
        <v>22</v>
      </c>
    </row>
    <row r="2207" spans="1:15" hidden="1">
      <c r="A2207" t="s">
        <v>15</v>
      </c>
      <c r="B2207" t="str">
        <f>"FES1162690267"</f>
        <v>FES1162690267</v>
      </c>
      <c r="C2207" s="9">
        <v>43601</v>
      </c>
      <c r="D2207">
        <v>1</v>
      </c>
      <c r="E2207">
        <v>2170688705</v>
      </c>
      <c r="F2207" t="s">
        <v>16</v>
      </c>
      <c r="G2207" t="s">
        <v>17</v>
      </c>
      <c r="H2207" t="s">
        <v>43</v>
      </c>
      <c r="I2207" t="s">
        <v>738</v>
      </c>
      <c r="J2207" t="s">
        <v>339</v>
      </c>
      <c r="K2207" s="9">
        <v>43602</v>
      </c>
      <c r="L2207" s="10">
        <v>0.41666666666666669</v>
      </c>
      <c r="M2207" t="s">
        <v>1483</v>
      </c>
      <c r="N2207" t="s">
        <v>3349</v>
      </c>
      <c r="O2207" t="s">
        <v>22</v>
      </c>
    </row>
    <row r="2208" spans="1:15" hidden="1">
      <c r="A2208" t="s">
        <v>15</v>
      </c>
      <c r="B2208" t="str">
        <f>"FES1162690257"</f>
        <v>FES1162690257</v>
      </c>
      <c r="C2208" s="9">
        <v>43601</v>
      </c>
      <c r="D2208">
        <v>1</v>
      </c>
      <c r="E2208">
        <v>2170688689</v>
      </c>
      <c r="F2208" t="s">
        <v>16</v>
      </c>
      <c r="G2208" t="s">
        <v>17</v>
      </c>
      <c r="H2208" t="s">
        <v>141</v>
      </c>
      <c r="I2208" t="s">
        <v>185</v>
      </c>
      <c r="J2208" t="s">
        <v>3350</v>
      </c>
      <c r="K2208" s="9">
        <v>43602</v>
      </c>
      <c r="L2208" s="10">
        <v>0.3576388888888889</v>
      </c>
      <c r="M2208" t="s">
        <v>3148</v>
      </c>
      <c r="N2208" t="s">
        <v>3351</v>
      </c>
      <c r="O2208" t="s">
        <v>22</v>
      </c>
    </row>
    <row r="2209" spans="1:15" hidden="1">
      <c r="A2209" t="s">
        <v>15</v>
      </c>
      <c r="B2209" t="str">
        <f>"FES1162690218"</f>
        <v>FES1162690218</v>
      </c>
      <c r="C2209" s="9">
        <v>43601</v>
      </c>
      <c r="D2209">
        <v>1</v>
      </c>
      <c r="E2209">
        <v>2170688653</v>
      </c>
      <c r="F2209" t="s">
        <v>16</v>
      </c>
      <c r="G2209" t="s">
        <v>17</v>
      </c>
      <c r="H2209" t="s">
        <v>300</v>
      </c>
      <c r="I2209" t="s">
        <v>1553</v>
      </c>
      <c r="J2209" t="s">
        <v>3352</v>
      </c>
      <c r="K2209" s="9">
        <v>43602</v>
      </c>
      <c r="L2209" s="10">
        <v>0.34375</v>
      </c>
      <c r="M2209" t="s">
        <v>3353</v>
      </c>
      <c r="N2209" t="s">
        <v>3354</v>
      </c>
      <c r="O2209" t="s">
        <v>22</v>
      </c>
    </row>
    <row r="2210" spans="1:15" hidden="1">
      <c r="A2210" t="s">
        <v>15</v>
      </c>
      <c r="B2210" t="str">
        <f>"FES1162690283"</f>
        <v>FES1162690283</v>
      </c>
      <c r="C2210" s="9">
        <v>43601</v>
      </c>
      <c r="D2210">
        <v>1</v>
      </c>
      <c r="E2210">
        <v>2170688230</v>
      </c>
      <c r="F2210" t="s">
        <v>16</v>
      </c>
      <c r="G2210" t="s">
        <v>17</v>
      </c>
      <c r="H2210" t="s">
        <v>43</v>
      </c>
      <c r="I2210" t="s">
        <v>44</v>
      </c>
      <c r="J2210" t="s">
        <v>51</v>
      </c>
      <c r="K2210" s="9">
        <v>43602</v>
      </c>
      <c r="L2210" s="10">
        <v>0.31736111111111115</v>
      </c>
      <c r="M2210" t="s">
        <v>2998</v>
      </c>
      <c r="N2210" t="s">
        <v>3355</v>
      </c>
      <c r="O2210" t="s">
        <v>22</v>
      </c>
    </row>
    <row r="2211" spans="1:15" hidden="1">
      <c r="A2211" t="s">
        <v>15</v>
      </c>
      <c r="B2211" t="str">
        <f>"FES1162690308"</f>
        <v>FES1162690308</v>
      </c>
      <c r="C2211" s="9">
        <v>43601</v>
      </c>
      <c r="D2211">
        <v>1</v>
      </c>
      <c r="E2211">
        <v>2170688750</v>
      </c>
      <c r="F2211" t="s">
        <v>16</v>
      </c>
      <c r="G2211" t="s">
        <v>17</v>
      </c>
      <c r="H2211" t="s">
        <v>43</v>
      </c>
      <c r="I2211" t="s">
        <v>75</v>
      </c>
      <c r="J2211" t="s">
        <v>76</v>
      </c>
      <c r="K2211" s="9">
        <v>43602</v>
      </c>
      <c r="L2211" s="10">
        <v>0.49374999999999997</v>
      </c>
      <c r="M2211" t="s">
        <v>663</v>
      </c>
      <c r="N2211" t="s">
        <v>3356</v>
      </c>
      <c r="O2211" t="s">
        <v>22</v>
      </c>
    </row>
    <row r="2212" spans="1:15" hidden="1">
      <c r="A2212" t="s">
        <v>15</v>
      </c>
      <c r="B2212" t="str">
        <f>"FES1162690315"</f>
        <v>FES1162690315</v>
      </c>
      <c r="C2212" s="9">
        <v>43601</v>
      </c>
      <c r="D2212">
        <v>1</v>
      </c>
      <c r="E2212">
        <v>2170688757</v>
      </c>
      <c r="F2212" t="s">
        <v>16</v>
      </c>
      <c r="G2212" t="s">
        <v>17</v>
      </c>
      <c r="H2212" t="s">
        <v>43</v>
      </c>
      <c r="I2212" t="s">
        <v>44</v>
      </c>
      <c r="J2212" t="s">
        <v>1605</v>
      </c>
      <c r="K2212" s="9">
        <v>43605</v>
      </c>
      <c r="L2212" s="10">
        <v>0.41666666666666669</v>
      </c>
      <c r="M2212" t="s">
        <v>3357</v>
      </c>
      <c r="N2212" t="s">
        <v>3358</v>
      </c>
      <c r="O2212" t="s">
        <v>22</v>
      </c>
    </row>
    <row r="2213" spans="1:15" hidden="1">
      <c r="A2213" t="s">
        <v>15</v>
      </c>
      <c r="B2213" t="str">
        <f>"FES1162690254"</f>
        <v>FES1162690254</v>
      </c>
      <c r="C2213" s="9">
        <v>43601</v>
      </c>
      <c r="D2213">
        <v>2</v>
      </c>
      <c r="E2213">
        <v>2170688684</v>
      </c>
      <c r="F2213" t="s">
        <v>16</v>
      </c>
      <c r="G2213" t="s">
        <v>17</v>
      </c>
      <c r="H2213" t="s">
        <v>43</v>
      </c>
      <c r="I2213" t="s">
        <v>44</v>
      </c>
      <c r="J2213" t="s">
        <v>51</v>
      </c>
      <c r="K2213" s="9">
        <v>43602</v>
      </c>
      <c r="L2213" s="10">
        <v>0.31527777777777777</v>
      </c>
      <c r="M2213" t="s">
        <v>2998</v>
      </c>
      <c r="N2213" t="s">
        <v>3359</v>
      </c>
      <c r="O2213" t="s">
        <v>22</v>
      </c>
    </row>
    <row r="2214" spans="1:15" hidden="1">
      <c r="A2214" t="s">
        <v>15</v>
      </c>
      <c r="B2214" t="str">
        <f>"FES1162690200"</f>
        <v>FES1162690200</v>
      </c>
      <c r="C2214" s="9">
        <v>43601</v>
      </c>
      <c r="D2214">
        <v>1</v>
      </c>
      <c r="E2214">
        <v>2170688640</v>
      </c>
      <c r="F2214" t="s">
        <v>16</v>
      </c>
      <c r="G2214" t="s">
        <v>17</v>
      </c>
      <c r="H2214" t="s">
        <v>290</v>
      </c>
      <c r="I2214" t="s">
        <v>291</v>
      </c>
      <c r="J2214" t="s">
        <v>1630</v>
      </c>
      <c r="K2214" s="9">
        <v>43602</v>
      </c>
      <c r="L2214" s="10">
        <v>0.37847222222222227</v>
      </c>
      <c r="M2214" t="s">
        <v>1528</v>
      </c>
      <c r="N2214" t="s">
        <v>3360</v>
      </c>
      <c r="O2214" t="s">
        <v>22</v>
      </c>
    </row>
    <row r="2215" spans="1:15" hidden="1">
      <c r="A2215" t="s">
        <v>15</v>
      </c>
      <c r="B2215" t="str">
        <f>"FES1162690316"</f>
        <v>FES1162690316</v>
      </c>
      <c r="C2215" s="9">
        <v>43601</v>
      </c>
      <c r="D2215">
        <v>1</v>
      </c>
      <c r="E2215">
        <v>2170688758</v>
      </c>
      <c r="F2215" t="s">
        <v>16</v>
      </c>
      <c r="G2215" t="s">
        <v>17</v>
      </c>
      <c r="H2215" t="s">
        <v>43</v>
      </c>
      <c r="I2215" t="s">
        <v>44</v>
      </c>
      <c r="J2215" t="s">
        <v>1605</v>
      </c>
      <c r="K2215" s="9">
        <v>43602</v>
      </c>
      <c r="L2215" s="10">
        <v>0.41666666666666669</v>
      </c>
      <c r="M2215" t="s">
        <v>3361</v>
      </c>
      <c r="N2215" t="s">
        <v>3362</v>
      </c>
      <c r="O2215" t="s">
        <v>22</v>
      </c>
    </row>
    <row r="2216" spans="1:15" hidden="1">
      <c r="A2216" t="s">
        <v>15</v>
      </c>
      <c r="B2216" t="str">
        <f>"FES1162690312"</f>
        <v>FES1162690312</v>
      </c>
      <c r="C2216" s="9">
        <v>43601</v>
      </c>
      <c r="D2216">
        <v>1</v>
      </c>
      <c r="E2216">
        <v>2170686757</v>
      </c>
      <c r="F2216" t="s">
        <v>16</v>
      </c>
      <c r="G2216" t="s">
        <v>17</v>
      </c>
      <c r="H2216" t="s">
        <v>141</v>
      </c>
      <c r="I2216" t="s">
        <v>142</v>
      </c>
      <c r="J2216" t="s">
        <v>917</v>
      </c>
      <c r="K2216" s="9">
        <v>43602</v>
      </c>
      <c r="L2216" s="10">
        <v>0.34027777777777773</v>
      </c>
      <c r="M2216" t="s">
        <v>3363</v>
      </c>
      <c r="N2216" t="s">
        <v>3364</v>
      </c>
      <c r="O2216" t="s">
        <v>22</v>
      </c>
    </row>
    <row r="2217" spans="1:15" hidden="1">
      <c r="A2217" t="s">
        <v>15</v>
      </c>
      <c r="B2217" t="str">
        <f>"FES1162690311"</f>
        <v>FES1162690311</v>
      </c>
      <c r="C2217" s="9">
        <v>43601</v>
      </c>
      <c r="D2217">
        <v>1</v>
      </c>
      <c r="E2217">
        <v>2170688754</v>
      </c>
      <c r="F2217" t="s">
        <v>16</v>
      </c>
      <c r="G2217" t="s">
        <v>17</v>
      </c>
      <c r="H2217" t="s">
        <v>32</v>
      </c>
      <c r="I2217" t="s">
        <v>33</v>
      </c>
      <c r="J2217" t="s">
        <v>790</v>
      </c>
      <c r="K2217" s="9">
        <v>43602</v>
      </c>
      <c r="L2217" s="10">
        <v>0.3979166666666667</v>
      </c>
      <c r="M2217" t="s">
        <v>791</v>
      </c>
      <c r="N2217" t="s">
        <v>3365</v>
      </c>
      <c r="O2217" t="s">
        <v>22</v>
      </c>
    </row>
    <row r="2218" spans="1:15" hidden="1">
      <c r="A2218" s="14" t="s">
        <v>15</v>
      </c>
      <c r="B2218" s="14" t="str">
        <f>"FES1162690303"</f>
        <v>FES1162690303</v>
      </c>
      <c r="C2218" s="15">
        <v>43601</v>
      </c>
      <c r="D2218" s="14">
        <v>1</v>
      </c>
      <c r="E2218" s="14">
        <v>2170688745</v>
      </c>
      <c r="F2218" s="14" t="s">
        <v>16</v>
      </c>
      <c r="G2218" s="14" t="s">
        <v>17</v>
      </c>
      <c r="H2218" s="14" t="s">
        <v>32</v>
      </c>
      <c r="I2218" s="14" t="s">
        <v>33</v>
      </c>
      <c r="J2218" s="14" t="s">
        <v>1657</v>
      </c>
      <c r="K2218" s="15">
        <v>43602</v>
      </c>
      <c r="L2218" s="16">
        <v>0.38263888888888892</v>
      </c>
      <c r="M2218" s="14" t="s">
        <v>1658</v>
      </c>
      <c r="N2218" s="14" t="s">
        <v>21</v>
      </c>
      <c r="O2218" s="14" t="s">
        <v>22</v>
      </c>
    </row>
    <row r="2219" spans="1:15">
      <c r="A2219" s="6" t="s">
        <v>15</v>
      </c>
      <c r="B2219" s="6" t="str">
        <f>"RFES1162688390"</f>
        <v>RFES1162688390</v>
      </c>
      <c r="C2219" s="7">
        <v>43601</v>
      </c>
      <c r="D2219" s="6">
        <v>1</v>
      </c>
      <c r="E2219" s="6">
        <v>2170686383</v>
      </c>
      <c r="F2219" s="6" t="s">
        <v>16</v>
      </c>
      <c r="G2219" s="6" t="s">
        <v>43</v>
      </c>
      <c r="H2219" s="6" t="s">
        <v>17</v>
      </c>
      <c r="I2219" s="6" t="s">
        <v>64</v>
      </c>
      <c r="J2219" s="6" t="s">
        <v>476</v>
      </c>
      <c r="K2219" s="7">
        <v>43602</v>
      </c>
      <c r="L2219" s="8">
        <v>0.37152777777777773</v>
      </c>
      <c r="M2219" s="6" t="s">
        <v>477</v>
      </c>
      <c r="N2219" s="6" t="s">
        <v>21</v>
      </c>
      <c r="O2219" s="6" t="s">
        <v>22</v>
      </c>
    </row>
    <row r="2220" spans="1:15" hidden="1">
      <c r="A2220" t="s">
        <v>15</v>
      </c>
      <c r="B2220" t="str">
        <f>"009935723271"</f>
        <v>009935723271</v>
      </c>
      <c r="C2220" s="9">
        <v>43601</v>
      </c>
      <c r="D2220">
        <v>1</v>
      </c>
      <c r="E2220">
        <v>1162686743</v>
      </c>
      <c r="F2220" t="s">
        <v>16</v>
      </c>
      <c r="G2220" t="s">
        <v>17</v>
      </c>
      <c r="H2220" t="s">
        <v>43</v>
      </c>
      <c r="I2220" t="s">
        <v>75</v>
      </c>
      <c r="J2220" t="s">
        <v>222</v>
      </c>
      <c r="K2220" s="9">
        <v>43602</v>
      </c>
      <c r="L2220" s="10">
        <v>0.41666666666666669</v>
      </c>
      <c r="M2220" t="s">
        <v>2892</v>
      </c>
      <c r="N2220" t="s">
        <v>3366</v>
      </c>
      <c r="O2220" t="s">
        <v>2841</v>
      </c>
    </row>
    <row r="2221" spans="1:15" hidden="1">
      <c r="A2221" t="s">
        <v>15</v>
      </c>
      <c r="B2221" t="str">
        <f>"FES1162690354"</f>
        <v>FES1162690354</v>
      </c>
      <c r="C2221" s="9">
        <v>43601</v>
      </c>
      <c r="D2221">
        <v>1</v>
      </c>
      <c r="E2221">
        <v>2170688793</v>
      </c>
      <c r="F2221" t="s">
        <v>16</v>
      </c>
      <c r="G2221" t="s">
        <v>17</v>
      </c>
      <c r="H2221" t="s">
        <v>141</v>
      </c>
      <c r="I2221" t="s">
        <v>448</v>
      </c>
      <c r="J2221" t="s">
        <v>449</v>
      </c>
      <c r="K2221" s="9">
        <v>43602</v>
      </c>
      <c r="L2221" s="10">
        <v>0.36736111111111108</v>
      </c>
      <c r="M2221" t="s">
        <v>1182</v>
      </c>
      <c r="N2221" t="s">
        <v>3367</v>
      </c>
      <c r="O2221" t="s">
        <v>22</v>
      </c>
    </row>
    <row r="2222" spans="1:15" hidden="1">
      <c r="A2222" t="s">
        <v>15</v>
      </c>
      <c r="B2222" t="str">
        <f>"FES1162690324"</f>
        <v>FES1162690324</v>
      </c>
      <c r="C2222" s="9">
        <v>43601</v>
      </c>
      <c r="D2222">
        <v>1</v>
      </c>
      <c r="E2222">
        <v>2170688769</v>
      </c>
      <c r="F2222" t="s">
        <v>16</v>
      </c>
      <c r="G2222" t="s">
        <v>17</v>
      </c>
      <c r="H2222" t="s">
        <v>43</v>
      </c>
      <c r="I2222" t="s">
        <v>60</v>
      </c>
      <c r="J2222" t="s">
        <v>3368</v>
      </c>
      <c r="K2222" s="9">
        <v>43605</v>
      </c>
      <c r="L2222" s="10">
        <v>0.39513888888888887</v>
      </c>
      <c r="M2222" t="s">
        <v>3369</v>
      </c>
      <c r="N2222" t="s">
        <v>3370</v>
      </c>
      <c r="O2222" t="s">
        <v>22</v>
      </c>
    </row>
    <row r="2223" spans="1:15" hidden="1">
      <c r="A2223" t="s">
        <v>15</v>
      </c>
      <c r="B2223" t="str">
        <f>"FES1162690344"</f>
        <v>FES1162690344</v>
      </c>
      <c r="C2223" s="9">
        <v>43601</v>
      </c>
      <c r="D2223">
        <v>1</v>
      </c>
      <c r="E2223">
        <v>2170688787</v>
      </c>
      <c r="F2223" t="s">
        <v>16</v>
      </c>
      <c r="G2223" t="s">
        <v>17</v>
      </c>
      <c r="H2223" t="s">
        <v>43</v>
      </c>
      <c r="I2223" t="s">
        <v>44</v>
      </c>
      <c r="J2223" t="s">
        <v>1022</v>
      </c>
      <c r="K2223" s="9">
        <v>43602</v>
      </c>
      <c r="L2223" s="10">
        <v>0.48194444444444445</v>
      </c>
      <c r="M2223" t="s">
        <v>52</v>
      </c>
      <c r="N2223" t="s">
        <v>3371</v>
      </c>
      <c r="O2223" t="s">
        <v>22</v>
      </c>
    </row>
    <row r="2224" spans="1:15" hidden="1">
      <c r="A2224" t="s">
        <v>15</v>
      </c>
      <c r="B2224" t="str">
        <f>"FES1162690347"</f>
        <v>FES1162690347</v>
      </c>
      <c r="C2224" s="9">
        <v>43601</v>
      </c>
      <c r="D2224">
        <v>1</v>
      </c>
      <c r="E2224">
        <v>2170688791</v>
      </c>
      <c r="F2224" t="s">
        <v>16</v>
      </c>
      <c r="G2224" t="s">
        <v>17</v>
      </c>
      <c r="H2224" t="s">
        <v>43</v>
      </c>
      <c r="I2224" t="s">
        <v>44</v>
      </c>
      <c r="J2224" t="s">
        <v>48</v>
      </c>
      <c r="K2224" s="9">
        <v>43602</v>
      </c>
      <c r="L2224" s="10">
        <v>0.31597222222222221</v>
      </c>
      <c r="M2224" t="s">
        <v>3253</v>
      </c>
      <c r="N2224" t="s">
        <v>3372</v>
      </c>
      <c r="O2224" t="s">
        <v>22</v>
      </c>
    </row>
    <row r="2225" spans="1:15" hidden="1">
      <c r="A2225" t="s">
        <v>15</v>
      </c>
      <c r="B2225" t="str">
        <f>"FES1162690322"</f>
        <v>FES1162690322</v>
      </c>
      <c r="C2225" s="9">
        <v>43601</v>
      </c>
      <c r="D2225">
        <v>1</v>
      </c>
      <c r="E2225">
        <v>2170688766</v>
      </c>
      <c r="F2225" t="s">
        <v>16</v>
      </c>
      <c r="G2225" t="s">
        <v>17</v>
      </c>
      <c r="H2225" t="s">
        <v>43</v>
      </c>
      <c r="I2225" t="s">
        <v>44</v>
      </c>
      <c r="J2225" t="s">
        <v>1591</v>
      </c>
      <c r="K2225" s="9">
        <v>43602</v>
      </c>
      <c r="L2225" s="10">
        <v>0.4236111111111111</v>
      </c>
      <c r="M2225" t="s">
        <v>1880</v>
      </c>
      <c r="N2225" t="s">
        <v>3373</v>
      </c>
      <c r="O2225" t="s">
        <v>22</v>
      </c>
    </row>
    <row r="2226" spans="1:15" hidden="1">
      <c r="A2226" t="s">
        <v>15</v>
      </c>
      <c r="B2226" t="str">
        <f>"FES1162690335"</f>
        <v>FES1162690335</v>
      </c>
      <c r="C2226" s="9">
        <v>43601</v>
      </c>
      <c r="D2226">
        <v>1</v>
      </c>
      <c r="E2226">
        <v>2170688772</v>
      </c>
      <c r="F2226" t="s">
        <v>16</v>
      </c>
      <c r="G2226" t="s">
        <v>17</v>
      </c>
      <c r="H2226" t="s">
        <v>43</v>
      </c>
      <c r="I2226" t="s">
        <v>44</v>
      </c>
      <c r="J2226" t="s">
        <v>1591</v>
      </c>
      <c r="K2226" s="9">
        <v>43602</v>
      </c>
      <c r="L2226" s="10">
        <v>0.4236111111111111</v>
      </c>
      <c r="M2226" t="s">
        <v>1880</v>
      </c>
      <c r="N2226" t="s">
        <v>3374</v>
      </c>
      <c r="O2226" t="s">
        <v>22</v>
      </c>
    </row>
    <row r="2227" spans="1:15" hidden="1">
      <c r="A2227" t="s">
        <v>15</v>
      </c>
      <c r="B2227" t="str">
        <f>"FES1162690318"</f>
        <v>FES1162690318</v>
      </c>
      <c r="C2227" s="9">
        <v>43601</v>
      </c>
      <c r="D2227">
        <v>1</v>
      </c>
      <c r="E2227">
        <v>2170687960</v>
      </c>
      <c r="F2227" t="s">
        <v>16</v>
      </c>
      <c r="G2227" t="s">
        <v>17</v>
      </c>
      <c r="H2227" t="s">
        <v>43</v>
      </c>
      <c r="I2227" t="s">
        <v>44</v>
      </c>
      <c r="J2227" t="s">
        <v>256</v>
      </c>
      <c r="K2227" s="9">
        <v>43602</v>
      </c>
      <c r="L2227" s="10">
        <v>0.3298611111111111</v>
      </c>
      <c r="M2227" t="s">
        <v>2980</v>
      </c>
      <c r="N2227" t="s">
        <v>3375</v>
      </c>
      <c r="O2227" t="s">
        <v>22</v>
      </c>
    </row>
    <row r="2228" spans="1:15" hidden="1">
      <c r="A2228" t="s">
        <v>15</v>
      </c>
      <c r="B2228" t="str">
        <f>"FES1162690325"</f>
        <v>FES1162690325</v>
      </c>
      <c r="C2228" s="9">
        <v>43601</v>
      </c>
      <c r="D2228">
        <v>1</v>
      </c>
      <c r="E2228">
        <v>2170688778</v>
      </c>
      <c r="F2228" t="s">
        <v>16</v>
      </c>
      <c r="G2228" t="s">
        <v>17</v>
      </c>
      <c r="H2228" t="s">
        <v>32</v>
      </c>
      <c r="I2228" t="s">
        <v>33</v>
      </c>
      <c r="J2228" t="s">
        <v>360</v>
      </c>
      <c r="K2228" s="9">
        <v>43602</v>
      </c>
      <c r="L2228" s="10">
        <v>0.36458333333333331</v>
      </c>
      <c r="M2228" t="s">
        <v>1727</v>
      </c>
      <c r="N2228" t="s">
        <v>3376</v>
      </c>
      <c r="O2228" t="s">
        <v>22</v>
      </c>
    </row>
    <row r="2229" spans="1:15" hidden="1">
      <c r="A2229" t="s">
        <v>15</v>
      </c>
      <c r="B2229" t="str">
        <f>"FES1162690360"</f>
        <v>FES1162690360</v>
      </c>
      <c r="C2229" s="9">
        <v>43601</v>
      </c>
      <c r="D2229">
        <v>1</v>
      </c>
      <c r="E2229">
        <v>2170688808</v>
      </c>
      <c r="F2229" t="s">
        <v>16</v>
      </c>
      <c r="G2229" t="s">
        <v>17</v>
      </c>
      <c r="H2229" t="s">
        <v>32</v>
      </c>
      <c r="I2229" t="s">
        <v>33</v>
      </c>
      <c r="J2229" t="s">
        <v>34</v>
      </c>
      <c r="K2229" s="9">
        <v>43602</v>
      </c>
      <c r="L2229" s="10">
        <v>0.375</v>
      </c>
      <c r="M2229" t="s">
        <v>35</v>
      </c>
      <c r="N2229" t="s">
        <v>3377</v>
      </c>
      <c r="O2229" t="s">
        <v>22</v>
      </c>
    </row>
    <row r="2230" spans="1:15" hidden="1">
      <c r="A2230" s="6" t="s">
        <v>15</v>
      </c>
      <c r="B2230" s="6" t="str">
        <f>"FES1162690328"</f>
        <v>FES1162690328</v>
      </c>
      <c r="C2230" s="7">
        <v>43601</v>
      </c>
      <c r="D2230" s="6">
        <v>1</v>
      </c>
      <c r="E2230" s="6">
        <v>2170688771</v>
      </c>
      <c r="F2230" s="6" t="s">
        <v>16</v>
      </c>
      <c r="G2230" s="6" t="s">
        <v>17</v>
      </c>
      <c r="H2230" s="6" t="s">
        <v>141</v>
      </c>
      <c r="I2230" s="6" t="s">
        <v>142</v>
      </c>
      <c r="J2230" s="6" t="s">
        <v>195</v>
      </c>
      <c r="K2230" s="7">
        <v>43602</v>
      </c>
      <c r="L2230" s="8">
        <v>0.29652777777777778</v>
      </c>
      <c r="M2230" s="6" t="s">
        <v>2412</v>
      </c>
      <c r="N2230" s="6" t="s">
        <v>21</v>
      </c>
      <c r="O2230" s="6" t="s">
        <v>22</v>
      </c>
    </row>
    <row r="2231" spans="1:15">
      <c r="A2231" s="6" t="s">
        <v>15</v>
      </c>
      <c r="B2231" s="6" t="str">
        <f>"FES1162690341"</f>
        <v>FES1162690341</v>
      </c>
      <c r="C2231" s="7">
        <v>43601</v>
      </c>
      <c r="D2231" s="6">
        <v>1</v>
      </c>
      <c r="E2231" s="6">
        <v>2170686901</v>
      </c>
      <c r="F2231" s="6" t="s">
        <v>16</v>
      </c>
      <c r="G2231" s="6" t="s">
        <v>17</v>
      </c>
      <c r="H2231" s="6" t="s">
        <v>17</v>
      </c>
      <c r="I2231" s="6" t="s">
        <v>935</v>
      </c>
      <c r="J2231" s="6" t="s">
        <v>936</v>
      </c>
      <c r="K2231" s="7">
        <v>43602</v>
      </c>
      <c r="L2231" s="8">
        <v>0.4375</v>
      </c>
      <c r="M2231" s="6" t="s">
        <v>152</v>
      </c>
      <c r="N2231" s="6" t="s">
        <v>21</v>
      </c>
      <c r="O2231" s="6" t="s">
        <v>22</v>
      </c>
    </row>
    <row r="2232" spans="1:15">
      <c r="A2232" s="14" t="s">
        <v>15</v>
      </c>
      <c r="B2232" s="14" t="str">
        <f>"FES1162690333"</f>
        <v>FES1162690333</v>
      </c>
      <c r="C2232" s="15">
        <v>43601</v>
      </c>
      <c r="D2232" s="14">
        <v>1</v>
      </c>
      <c r="E2232" s="14">
        <v>2170688780</v>
      </c>
      <c r="F2232" s="14" t="s">
        <v>16</v>
      </c>
      <c r="G2232" s="14" t="s">
        <v>17</v>
      </c>
      <c r="H2232" s="14" t="s">
        <v>17</v>
      </c>
      <c r="I2232" s="14" t="s">
        <v>18</v>
      </c>
      <c r="J2232" s="14" t="s">
        <v>408</v>
      </c>
      <c r="K2232" s="15">
        <v>43602</v>
      </c>
      <c r="L2232" s="16">
        <v>0.34791666666666665</v>
      </c>
      <c r="M2232" s="14" t="s">
        <v>408</v>
      </c>
      <c r="N2232" s="14" t="s">
        <v>21</v>
      </c>
      <c r="O2232" s="14" t="s">
        <v>22</v>
      </c>
    </row>
    <row r="2233" spans="1:15">
      <c r="A2233" s="6" t="s">
        <v>15</v>
      </c>
      <c r="B2233" s="6" t="str">
        <f>"FES1162690327"</f>
        <v>FES1162690327</v>
      </c>
      <c r="C2233" s="7">
        <v>43601</v>
      </c>
      <c r="D2233" s="6">
        <v>1</v>
      </c>
      <c r="E2233" s="6">
        <v>2170688770</v>
      </c>
      <c r="F2233" s="6" t="s">
        <v>16</v>
      </c>
      <c r="G2233" s="6" t="s">
        <v>17</v>
      </c>
      <c r="H2233" s="6" t="s">
        <v>17</v>
      </c>
      <c r="I2233" s="6" t="s">
        <v>103</v>
      </c>
      <c r="J2233" s="6" t="s">
        <v>776</v>
      </c>
      <c r="K2233" s="7">
        <v>43602</v>
      </c>
      <c r="L2233" s="8">
        <v>0.33333333333333331</v>
      </c>
      <c r="M2233" s="6" t="s">
        <v>3378</v>
      </c>
      <c r="N2233" s="6" t="s">
        <v>21</v>
      </c>
      <c r="O2233" s="6" t="s">
        <v>22</v>
      </c>
    </row>
    <row r="2234" spans="1:15" hidden="1">
      <c r="A2234" s="20" t="s">
        <v>15</v>
      </c>
      <c r="B2234" s="20" t="str">
        <f>"FES1162690331"</f>
        <v>FES1162690331</v>
      </c>
      <c r="C2234" s="21">
        <v>43601</v>
      </c>
      <c r="D2234" s="20">
        <v>1</v>
      </c>
      <c r="E2234" s="20">
        <v>2170688775</v>
      </c>
      <c r="F2234" s="20" t="s">
        <v>16</v>
      </c>
      <c r="G2234" s="20" t="s">
        <v>17</v>
      </c>
      <c r="H2234" s="20" t="s">
        <v>141</v>
      </c>
      <c r="I2234" s="20" t="s">
        <v>1451</v>
      </c>
      <c r="J2234" s="20" t="s">
        <v>3379</v>
      </c>
      <c r="K2234" s="21">
        <v>43602</v>
      </c>
      <c r="L2234" s="22">
        <v>0.40138888888888885</v>
      </c>
      <c r="M2234" s="20" t="s">
        <v>3380</v>
      </c>
      <c r="N2234" s="20" t="s">
        <v>21</v>
      </c>
      <c r="O2234" s="20" t="s">
        <v>22</v>
      </c>
    </row>
    <row r="2235" spans="1:15">
      <c r="A2235" s="6" t="s">
        <v>15</v>
      </c>
      <c r="B2235" s="6" t="str">
        <f>"FES1162690319"</f>
        <v>FES1162690319</v>
      </c>
      <c r="C2235" s="7">
        <v>43601</v>
      </c>
      <c r="D2235" s="6">
        <v>1</v>
      </c>
      <c r="E2235" s="6">
        <v>2170688763</v>
      </c>
      <c r="F2235" s="6" t="s">
        <v>16</v>
      </c>
      <c r="G2235" s="6" t="s">
        <v>17</v>
      </c>
      <c r="H2235" s="6" t="s">
        <v>17</v>
      </c>
      <c r="I2235" s="6" t="s">
        <v>64</v>
      </c>
      <c r="J2235" s="6" t="s">
        <v>509</v>
      </c>
      <c r="K2235" s="7">
        <v>43602</v>
      </c>
      <c r="L2235" s="8">
        <v>0.35694444444444445</v>
      </c>
      <c r="M2235" s="6" t="s">
        <v>3381</v>
      </c>
      <c r="N2235" s="6" t="s">
        <v>21</v>
      </c>
      <c r="O2235" s="6" t="s">
        <v>22</v>
      </c>
    </row>
    <row r="2236" spans="1:15" hidden="1">
      <c r="A2236" t="s">
        <v>15</v>
      </c>
      <c r="B2236" t="str">
        <f>"FES1162690348"</f>
        <v>FES1162690348</v>
      </c>
      <c r="C2236" s="9">
        <v>43601</v>
      </c>
      <c r="D2236">
        <v>1</v>
      </c>
      <c r="E2236">
        <v>2170688786</v>
      </c>
      <c r="F2236" t="s">
        <v>16</v>
      </c>
      <c r="G2236" t="s">
        <v>17</v>
      </c>
      <c r="H2236" t="s">
        <v>37</v>
      </c>
      <c r="I2236" t="s">
        <v>38</v>
      </c>
      <c r="J2236" t="s">
        <v>39</v>
      </c>
      <c r="K2236" s="9">
        <v>43602</v>
      </c>
      <c r="L2236" s="10">
        <v>0.37152777777777773</v>
      </c>
      <c r="M2236" t="s">
        <v>40</v>
      </c>
      <c r="N2236" t="s">
        <v>3382</v>
      </c>
      <c r="O2236" t="s">
        <v>22</v>
      </c>
    </row>
    <row r="2237" spans="1:15" hidden="1">
      <c r="A2237" t="s">
        <v>15</v>
      </c>
      <c r="B2237" t="str">
        <f>"FES1162690339"</f>
        <v>FES1162690339</v>
      </c>
      <c r="C2237" s="9">
        <v>43601</v>
      </c>
      <c r="D2237">
        <v>1</v>
      </c>
      <c r="E2237">
        <v>2170688784</v>
      </c>
      <c r="F2237" t="s">
        <v>16</v>
      </c>
      <c r="G2237" t="s">
        <v>17</v>
      </c>
      <c r="H2237" t="s">
        <v>141</v>
      </c>
      <c r="I2237" t="s">
        <v>142</v>
      </c>
      <c r="J2237" t="s">
        <v>195</v>
      </c>
      <c r="K2237" s="9">
        <v>43602</v>
      </c>
      <c r="L2237" s="10">
        <v>0.29652777777777778</v>
      </c>
      <c r="M2237" t="s">
        <v>2412</v>
      </c>
      <c r="N2237" t="s">
        <v>3383</v>
      </c>
      <c r="O2237" t="s">
        <v>22</v>
      </c>
    </row>
    <row r="2238" spans="1:15" hidden="1">
      <c r="A2238" t="s">
        <v>15</v>
      </c>
      <c r="B2238" t="str">
        <f>"FES1162690337"</f>
        <v>FES1162690337</v>
      </c>
      <c r="C2238" s="9">
        <v>43601</v>
      </c>
      <c r="D2238">
        <v>1</v>
      </c>
      <c r="E2238">
        <v>2170688782</v>
      </c>
      <c r="F2238" t="s">
        <v>16</v>
      </c>
      <c r="G2238" t="s">
        <v>17</v>
      </c>
      <c r="H2238" t="s">
        <v>32</v>
      </c>
      <c r="I2238" t="s">
        <v>342</v>
      </c>
      <c r="J2238" t="s">
        <v>949</v>
      </c>
      <c r="K2238" s="9">
        <v>43602</v>
      </c>
      <c r="L2238" s="10">
        <v>0.4861111111111111</v>
      </c>
      <c r="M2238" t="s">
        <v>3343</v>
      </c>
      <c r="N2238" t="s">
        <v>3384</v>
      </c>
      <c r="O2238" t="s">
        <v>22</v>
      </c>
    </row>
    <row r="2239" spans="1:15" hidden="1">
      <c r="A2239" t="s">
        <v>15</v>
      </c>
      <c r="B2239" t="str">
        <f>"FES1162690368"</f>
        <v>FES1162690368</v>
      </c>
      <c r="C2239" s="9">
        <v>43601</v>
      </c>
      <c r="D2239">
        <v>1</v>
      </c>
      <c r="E2239">
        <v>2170688316</v>
      </c>
      <c r="F2239" t="s">
        <v>16</v>
      </c>
      <c r="G2239" t="s">
        <v>17</v>
      </c>
      <c r="H2239" t="s">
        <v>43</v>
      </c>
      <c r="I2239" t="s">
        <v>44</v>
      </c>
      <c r="J2239" t="s">
        <v>207</v>
      </c>
      <c r="K2239" s="9">
        <v>43602</v>
      </c>
      <c r="L2239" s="10">
        <v>0.41666666666666669</v>
      </c>
      <c r="M2239" t="s">
        <v>3250</v>
      </c>
      <c r="N2239" t="s">
        <v>3385</v>
      </c>
      <c r="O2239" t="s">
        <v>22</v>
      </c>
    </row>
    <row r="2240" spans="1:15" hidden="1">
      <c r="A2240" t="s">
        <v>15</v>
      </c>
      <c r="B2240" t="str">
        <f>"FES1162690372"</f>
        <v>FES1162690372</v>
      </c>
      <c r="C2240" s="9">
        <v>43601</v>
      </c>
      <c r="D2240">
        <v>1</v>
      </c>
      <c r="E2240">
        <v>2170688819</v>
      </c>
      <c r="F2240" t="s">
        <v>16</v>
      </c>
      <c r="G2240" t="s">
        <v>17</v>
      </c>
      <c r="H2240" t="s">
        <v>43</v>
      </c>
      <c r="I2240" t="s">
        <v>44</v>
      </c>
      <c r="J2240" t="s">
        <v>3386</v>
      </c>
      <c r="K2240" s="9">
        <v>43606</v>
      </c>
      <c r="L2240" s="10">
        <v>0.32430555555555557</v>
      </c>
      <c r="M2240" t="s">
        <v>3387</v>
      </c>
      <c r="N2240" t="s">
        <v>3388</v>
      </c>
      <c r="O2240" t="s">
        <v>22</v>
      </c>
    </row>
    <row r="2241" spans="1:15" hidden="1">
      <c r="A2241" t="s">
        <v>15</v>
      </c>
      <c r="B2241" t="str">
        <f>"FES1162690346"</f>
        <v>FES1162690346</v>
      </c>
      <c r="C2241" s="9">
        <v>43601</v>
      </c>
      <c r="D2241">
        <v>1</v>
      </c>
      <c r="E2241">
        <v>2170688789</v>
      </c>
      <c r="F2241" t="s">
        <v>16</v>
      </c>
      <c r="G2241" t="s">
        <v>17</v>
      </c>
      <c r="H2241" t="s">
        <v>290</v>
      </c>
      <c r="I2241" t="s">
        <v>291</v>
      </c>
      <c r="J2241" t="s">
        <v>2011</v>
      </c>
      <c r="K2241" s="9">
        <v>43602</v>
      </c>
      <c r="L2241" s="10">
        <v>0.4375</v>
      </c>
      <c r="M2241" t="s">
        <v>3295</v>
      </c>
      <c r="N2241" t="s">
        <v>3389</v>
      </c>
      <c r="O2241" t="s">
        <v>22</v>
      </c>
    </row>
    <row r="2242" spans="1:15" hidden="1">
      <c r="A2242" s="14" t="s">
        <v>15</v>
      </c>
      <c r="B2242" s="14" t="str">
        <f>"FES1162690363"</f>
        <v>FES1162690363</v>
      </c>
      <c r="C2242" s="15">
        <v>43601</v>
      </c>
      <c r="D2242" s="14">
        <v>2</v>
      </c>
      <c r="E2242" s="14">
        <v>2170686900</v>
      </c>
      <c r="F2242" s="14" t="s">
        <v>58</v>
      </c>
      <c r="G2242" s="14" t="s">
        <v>59</v>
      </c>
      <c r="H2242" s="14" t="s">
        <v>32</v>
      </c>
      <c r="I2242" s="14" t="s">
        <v>342</v>
      </c>
      <c r="J2242" s="14" t="s">
        <v>949</v>
      </c>
      <c r="K2242" s="15">
        <v>43605</v>
      </c>
      <c r="L2242" s="16">
        <v>0.3298611111111111</v>
      </c>
      <c r="M2242" s="14" t="s">
        <v>3390</v>
      </c>
      <c r="N2242" s="14" t="s">
        <v>21</v>
      </c>
      <c r="O2242" s="14" t="s">
        <v>22</v>
      </c>
    </row>
    <row r="2243" spans="1:15">
      <c r="A2243" s="6" t="s">
        <v>15</v>
      </c>
      <c r="B2243" s="6" t="str">
        <f>"FES1162690378"</f>
        <v>FES1162690378</v>
      </c>
      <c r="C2243" s="7">
        <v>43601</v>
      </c>
      <c r="D2243" s="6">
        <v>1</v>
      </c>
      <c r="E2243" s="6">
        <v>2170688825</v>
      </c>
      <c r="F2243" s="6" t="s">
        <v>16</v>
      </c>
      <c r="G2243" s="6" t="s">
        <v>17</v>
      </c>
      <c r="H2243" s="6" t="s">
        <v>17</v>
      </c>
      <c r="I2243" s="6" t="s">
        <v>701</v>
      </c>
      <c r="J2243" s="6" t="s">
        <v>1379</v>
      </c>
      <c r="K2243" s="7">
        <v>43602</v>
      </c>
      <c r="L2243" s="8">
        <v>0.37361111111111112</v>
      </c>
      <c r="M2243" s="6" t="s">
        <v>3391</v>
      </c>
      <c r="N2243" s="6" t="s">
        <v>21</v>
      </c>
      <c r="O2243" s="6" t="s">
        <v>22</v>
      </c>
    </row>
    <row r="2244" spans="1:15" hidden="1">
      <c r="A2244" t="s">
        <v>15</v>
      </c>
      <c r="B2244" t="str">
        <f>"FES1162690379"</f>
        <v>FES1162690379</v>
      </c>
      <c r="C2244" s="9">
        <v>43601</v>
      </c>
      <c r="D2244">
        <v>1</v>
      </c>
      <c r="E2244">
        <v>2170688826</v>
      </c>
      <c r="F2244" t="s">
        <v>16</v>
      </c>
      <c r="G2244" t="s">
        <v>17</v>
      </c>
      <c r="H2244" t="s">
        <v>43</v>
      </c>
      <c r="I2244" t="s">
        <v>75</v>
      </c>
      <c r="J2244" t="s">
        <v>1874</v>
      </c>
      <c r="K2244" s="9">
        <v>43602</v>
      </c>
      <c r="L2244" s="10">
        <v>0.4909722222222222</v>
      </c>
      <c r="M2244" t="s">
        <v>1875</v>
      </c>
      <c r="N2244" t="s">
        <v>3392</v>
      </c>
      <c r="O2244" t="s">
        <v>22</v>
      </c>
    </row>
    <row r="2245" spans="1:15" hidden="1">
      <c r="A2245" t="s">
        <v>15</v>
      </c>
      <c r="B2245" t="str">
        <f>"FES1162690381"</f>
        <v>FES1162690381</v>
      </c>
      <c r="C2245" s="9">
        <v>43601</v>
      </c>
      <c r="D2245">
        <v>1</v>
      </c>
      <c r="E2245">
        <v>2170688830</v>
      </c>
      <c r="F2245" t="s">
        <v>16</v>
      </c>
      <c r="G2245" t="s">
        <v>17</v>
      </c>
      <c r="H2245" t="s">
        <v>43</v>
      </c>
      <c r="I2245" t="s">
        <v>44</v>
      </c>
      <c r="J2245" t="s">
        <v>51</v>
      </c>
      <c r="K2245" s="9">
        <v>43602</v>
      </c>
      <c r="L2245" s="10">
        <v>0.31597222222222221</v>
      </c>
      <c r="M2245" t="s">
        <v>2998</v>
      </c>
      <c r="N2245" t="s">
        <v>3393</v>
      </c>
      <c r="O2245" t="s">
        <v>22</v>
      </c>
    </row>
    <row r="2246" spans="1:15" hidden="1">
      <c r="A2246" s="14" t="s">
        <v>15</v>
      </c>
      <c r="B2246" s="14" t="str">
        <f>"FES1162690373"</f>
        <v>FES1162690373</v>
      </c>
      <c r="C2246" s="15">
        <v>43601</v>
      </c>
      <c r="D2246" s="14">
        <v>1</v>
      </c>
      <c r="E2246" s="14">
        <v>2170688672</v>
      </c>
      <c r="F2246" s="14" t="s">
        <v>16</v>
      </c>
      <c r="G2246" s="14" t="s">
        <v>17</v>
      </c>
      <c r="H2246" s="14" t="s">
        <v>43</v>
      </c>
      <c r="I2246" s="14" t="s">
        <v>75</v>
      </c>
      <c r="J2246" s="14" t="s">
        <v>811</v>
      </c>
      <c r="K2246" s="15">
        <v>43602</v>
      </c>
      <c r="L2246" s="16">
        <v>0.4826388888888889</v>
      </c>
      <c r="M2246" s="14" t="s">
        <v>3272</v>
      </c>
      <c r="N2246" s="14" t="s">
        <v>21</v>
      </c>
      <c r="O2246" s="14" t="s">
        <v>22</v>
      </c>
    </row>
    <row r="2247" spans="1:15">
      <c r="A2247" s="6" t="s">
        <v>15</v>
      </c>
      <c r="B2247" s="6" t="str">
        <f>"FES1162690355"</f>
        <v>FES1162690355</v>
      </c>
      <c r="C2247" s="7">
        <v>43601</v>
      </c>
      <c r="D2247" s="6">
        <v>1</v>
      </c>
      <c r="E2247" s="6">
        <v>217068800</v>
      </c>
      <c r="F2247" s="6" t="s">
        <v>16</v>
      </c>
      <c r="G2247" s="6" t="s">
        <v>17</v>
      </c>
      <c r="H2247" s="6" t="s">
        <v>17</v>
      </c>
      <c r="I2247" s="6" t="s">
        <v>18</v>
      </c>
      <c r="J2247" s="6" t="s">
        <v>19</v>
      </c>
      <c r="K2247" s="7">
        <v>43602</v>
      </c>
      <c r="L2247" s="8">
        <v>0.42083333333333334</v>
      </c>
      <c r="M2247" s="6" t="s">
        <v>2039</v>
      </c>
      <c r="N2247" s="6" t="s">
        <v>21</v>
      </c>
      <c r="O2247" s="6" t="s">
        <v>22</v>
      </c>
    </row>
    <row r="2248" spans="1:15" hidden="1">
      <c r="A2248" t="s">
        <v>15</v>
      </c>
      <c r="B2248" t="str">
        <f>"FES1162690367"</f>
        <v>FES1162690367</v>
      </c>
      <c r="C2248" s="9">
        <v>43601</v>
      </c>
      <c r="D2248">
        <v>1</v>
      </c>
      <c r="E2248">
        <v>2170688820</v>
      </c>
      <c r="F2248" t="s">
        <v>16</v>
      </c>
      <c r="G2248" t="s">
        <v>17</v>
      </c>
      <c r="H2248" t="s">
        <v>2611</v>
      </c>
      <c r="I2248" t="s">
        <v>3394</v>
      </c>
      <c r="J2248" t="s">
        <v>3395</v>
      </c>
      <c r="K2248" s="9">
        <v>43605</v>
      </c>
      <c r="L2248" s="10">
        <v>0.41666666666666669</v>
      </c>
      <c r="M2248" t="s">
        <v>3396</v>
      </c>
      <c r="N2248" t="s">
        <v>3397</v>
      </c>
      <c r="O2248" t="s">
        <v>22</v>
      </c>
    </row>
    <row r="2249" spans="1:15" hidden="1">
      <c r="A2249" s="14" t="s">
        <v>15</v>
      </c>
      <c r="B2249" s="14" t="str">
        <f>"FES1162690364"</f>
        <v>FES1162690364</v>
      </c>
      <c r="C2249" s="15">
        <v>43601</v>
      </c>
      <c r="D2249" s="14">
        <v>1</v>
      </c>
      <c r="E2249" s="14">
        <v>2170687217</v>
      </c>
      <c r="F2249" s="14" t="s">
        <v>16</v>
      </c>
      <c r="G2249" s="14" t="s">
        <v>17</v>
      </c>
      <c r="H2249" s="14" t="s">
        <v>1474</v>
      </c>
      <c r="I2249" s="14" t="s">
        <v>1475</v>
      </c>
      <c r="J2249" s="14" t="s">
        <v>1476</v>
      </c>
      <c r="K2249" s="15">
        <v>43606</v>
      </c>
      <c r="L2249" s="16">
        <v>0.5083333333333333</v>
      </c>
      <c r="M2249" s="14" t="s">
        <v>1477</v>
      </c>
      <c r="N2249" s="14" t="s">
        <v>21</v>
      </c>
      <c r="O2249" s="14" t="s">
        <v>22</v>
      </c>
    </row>
    <row r="2250" spans="1:15">
      <c r="A2250" s="6" t="s">
        <v>15</v>
      </c>
      <c r="B2250" s="6" t="str">
        <f>"FES1162690356"</f>
        <v>FES1162690356</v>
      </c>
      <c r="C2250" s="7">
        <v>43601</v>
      </c>
      <c r="D2250" s="6">
        <v>1</v>
      </c>
      <c r="E2250" s="6">
        <v>2170688801</v>
      </c>
      <c r="F2250" s="6" t="s">
        <v>16</v>
      </c>
      <c r="G2250" s="6" t="s">
        <v>17</v>
      </c>
      <c r="H2250" s="6" t="s">
        <v>17</v>
      </c>
      <c r="I2250" s="6" t="s">
        <v>64</v>
      </c>
      <c r="J2250" s="6" t="s">
        <v>3398</v>
      </c>
      <c r="K2250" s="7">
        <v>43602</v>
      </c>
      <c r="L2250" s="8">
        <v>0.33124999999999999</v>
      </c>
      <c r="M2250" s="6" t="s">
        <v>582</v>
      </c>
      <c r="N2250" s="6" t="s">
        <v>21</v>
      </c>
      <c r="O2250" s="6" t="s">
        <v>22</v>
      </c>
    </row>
    <row r="2251" spans="1:15" hidden="1">
      <c r="A2251" s="3" t="s">
        <v>15</v>
      </c>
      <c r="B2251" s="3" t="str">
        <f>"FES1162690349"</f>
        <v>FES1162690349</v>
      </c>
      <c r="C2251" s="4">
        <v>43601</v>
      </c>
      <c r="D2251" s="3">
        <v>1</v>
      </c>
      <c r="E2251" s="3">
        <v>2170688796</v>
      </c>
      <c r="F2251" s="3" t="s">
        <v>16</v>
      </c>
      <c r="G2251" s="3" t="s">
        <v>17</v>
      </c>
      <c r="H2251" s="3" t="s">
        <v>59</v>
      </c>
      <c r="I2251" s="3" t="s">
        <v>23</v>
      </c>
      <c r="J2251" s="3" t="s">
        <v>2026</v>
      </c>
      <c r="K2251" s="4">
        <v>43602</v>
      </c>
      <c r="L2251" s="5">
        <v>0.33194444444444443</v>
      </c>
      <c r="M2251" s="3" t="s">
        <v>3399</v>
      </c>
      <c r="N2251" s="3" t="s">
        <v>21</v>
      </c>
      <c r="O2251" s="3" t="s">
        <v>22</v>
      </c>
    </row>
    <row r="2252" spans="1:15">
      <c r="A2252" s="14" t="s">
        <v>15</v>
      </c>
      <c r="B2252" s="14" t="str">
        <f>"FES1162690359"</f>
        <v>FES1162690359</v>
      </c>
      <c r="C2252" s="15">
        <v>43601</v>
      </c>
      <c r="D2252" s="14">
        <v>1</v>
      </c>
      <c r="E2252" s="14">
        <v>2170688807</v>
      </c>
      <c r="F2252" s="14" t="s">
        <v>16</v>
      </c>
      <c r="G2252" s="14" t="s">
        <v>17</v>
      </c>
      <c r="H2252" s="14" t="s">
        <v>17</v>
      </c>
      <c r="I2252" s="14" t="s">
        <v>64</v>
      </c>
      <c r="J2252" s="14" t="s">
        <v>116</v>
      </c>
      <c r="K2252" s="15">
        <v>43602</v>
      </c>
      <c r="L2252" s="16">
        <v>0.3215277777777778</v>
      </c>
      <c r="M2252" s="14" t="s">
        <v>481</v>
      </c>
      <c r="N2252" s="14" t="s">
        <v>21</v>
      </c>
      <c r="O2252" s="14" t="s">
        <v>22</v>
      </c>
    </row>
    <row r="2253" spans="1:15">
      <c r="A2253" s="6" t="s">
        <v>15</v>
      </c>
      <c r="B2253" s="6" t="str">
        <f>"FES1162690326"</f>
        <v>FES1162690326</v>
      </c>
      <c r="C2253" s="7">
        <v>43601</v>
      </c>
      <c r="D2253" s="6">
        <v>1</v>
      </c>
      <c r="E2253" s="6">
        <v>2170688694</v>
      </c>
      <c r="F2253" s="6" t="s">
        <v>16</v>
      </c>
      <c r="G2253" s="6" t="s">
        <v>17</v>
      </c>
      <c r="H2253" s="6" t="s">
        <v>17</v>
      </c>
      <c r="I2253" s="6" t="s">
        <v>18</v>
      </c>
      <c r="J2253" s="6" t="s">
        <v>3246</v>
      </c>
      <c r="K2253" s="7">
        <v>43602</v>
      </c>
      <c r="L2253" s="8">
        <v>0.41666666666666669</v>
      </c>
      <c r="M2253" s="6" t="s">
        <v>3247</v>
      </c>
      <c r="N2253" s="6" t="s">
        <v>21</v>
      </c>
      <c r="O2253" s="6" t="s">
        <v>22</v>
      </c>
    </row>
    <row r="2254" spans="1:15" hidden="1">
      <c r="A2254" s="20" t="s">
        <v>15</v>
      </c>
      <c r="B2254" s="20" t="str">
        <f>"FES1162690334"</f>
        <v>FES1162690334</v>
      </c>
      <c r="C2254" s="21">
        <v>43601</v>
      </c>
      <c r="D2254" s="20">
        <v>1</v>
      </c>
      <c r="E2254" s="20">
        <v>2170688441</v>
      </c>
      <c r="F2254" s="20" t="s">
        <v>16</v>
      </c>
      <c r="G2254" s="20" t="s">
        <v>17</v>
      </c>
      <c r="H2254" s="20" t="s">
        <v>141</v>
      </c>
      <c r="I2254" s="20" t="s">
        <v>142</v>
      </c>
      <c r="J2254" s="20" t="s">
        <v>3400</v>
      </c>
      <c r="K2254" s="21">
        <v>43602</v>
      </c>
      <c r="L2254" s="22">
        <v>0.40277777777777773</v>
      </c>
      <c r="M2254" s="20" t="s">
        <v>3401</v>
      </c>
      <c r="N2254" s="20" t="s">
        <v>21</v>
      </c>
      <c r="O2254" s="20" t="s">
        <v>22</v>
      </c>
    </row>
    <row r="2255" spans="1:15">
      <c r="A2255" s="6" t="s">
        <v>15</v>
      </c>
      <c r="B2255" s="6" t="str">
        <f>"FES1162690357"</f>
        <v>FES1162690357</v>
      </c>
      <c r="C2255" s="7">
        <v>43601</v>
      </c>
      <c r="D2255" s="6">
        <v>1</v>
      </c>
      <c r="E2255" s="6">
        <v>2170688804</v>
      </c>
      <c r="F2255" s="6" t="s">
        <v>16</v>
      </c>
      <c r="G2255" s="6" t="s">
        <v>17</v>
      </c>
      <c r="H2255" s="6" t="s">
        <v>17</v>
      </c>
      <c r="I2255" s="6" t="s">
        <v>18</v>
      </c>
      <c r="J2255" s="6" t="s">
        <v>3402</v>
      </c>
      <c r="K2255" s="7">
        <v>43602</v>
      </c>
      <c r="L2255" s="8">
        <v>0.3263888888888889</v>
      </c>
      <c r="M2255" s="6" t="s">
        <v>2045</v>
      </c>
      <c r="N2255" s="6" t="s">
        <v>21</v>
      </c>
      <c r="O2255" s="6" t="s">
        <v>22</v>
      </c>
    </row>
    <row r="2256" spans="1:15" hidden="1">
      <c r="A2256" s="20" t="s">
        <v>15</v>
      </c>
      <c r="B2256" s="20" t="str">
        <f>"FES1162690366"</f>
        <v>FES1162690366</v>
      </c>
      <c r="C2256" s="21">
        <v>43601</v>
      </c>
      <c r="D2256" s="20">
        <v>1</v>
      </c>
      <c r="E2256" s="20">
        <v>2170687879</v>
      </c>
      <c r="F2256" s="20" t="s">
        <v>16</v>
      </c>
      <c r="G2256" s="20" t="s">
        <v>17</v>
      </c>
      <c r="H2256" s="20" t="s">
        <v>32</v>
      </c>
      <c r="I2256" s="20" t="s">
        <v>33</v>
      </c>
      <c r="J2256" s="20" t="s">
        <v>1125</v>
      </c>
      <c r="K2256" s="21">
        <v>43602</v>
      </c>
      <c r="L2256" s="22">
        <v>0.35416666666666669</v>
      </c>
      <c r="M2256" s="20" t="s">
        <v>3403</v>
      </c>
      <c r="N2256" s="20" t="s">
        <v>21</v>
      </c>
      <c r="O2256" s="20" t="s">
        <v>22</v>
      </c>
    </row>
    <row r="2257" spans="1:15">
      <c r="A2257" s="6" t="s">
        <v>15</v>
      </c>
      <c r="B2257" s="6" t="str">
        <f>"FES1162690370"</f>
        <v>FES1162690370</v>
      </c>
      <c r="C2257" s="7">
        <v>43601</v>
      </c>
      <c r="D2257" s="6">
        <v>1</v>
      </c>
      <c r="E2257" s="6">
        <v>2170688813</v>
      </c>
      <c r="F2257" s="6" t="s">
        <v>16</v>
      </c>
      <c r="G2257" s="6" t="s">
        <v>17</v>
      </c>
      <c r="H2257" s="6" t="s">
        <v>17</v>
      </c>
      <c r="I2257" s="6" t="s">
        <v>148</v>
      </c>
      <c r="J2257" s="6" t="s">
        <v>164</v>
      </c>
      <c r="K2257" s="7">
        <v>43605</v>
      </c>
      <c r="L2257" s="8">
        <v>0.35902777777777778</v>
      </c>
      <c r="M2257" s="6" t="s">
        <v>3404</v>
      </c>
      <c r="N2257" s="6" t="s">
        <v>21</v>
      </c>
      <c r="O2257" s="6" t="s">
        <v>22</v>
      </c>
    </row>
    <row r="2258" spans="1:15" hidden="1">
      <c r="A2258" t="s">
        <v>15</v>
      </c>
      <c r="B2258" t="str">
        <f>"FES1162690383"</f>
        <v>FES1162690383</v>
      </c>
      <c r="C2258" s="9">
        <v>43601</v>
      </c>
      <c r="D2258">
        <v>1</v>
      </c>
      <c r="E2258">
        <v>2170688467</v>
      </c>
      <c r="F2258" t="s">
        <v>16</v>
      </c>
      <c r="G2258" t="s">
        <v>17</v>
      </c>
      <c r="H2258" t="s">
        <v>141</v>
      </c>
      <c r="I2258" t="s">
        <v>854</v>
      </c>
      <c r="J2258" t="s">
        <v>578</v>
      </c>
      <c r="K2258" s="9">
        <v>43602</v>
      </c>
      <c r="L2258" s="10">
        <v>0.47916666666666669</v>
      </c>
      <c r="M2258" t="s">
        <v>3405</v>
      </c>
      <c r="N2258" t="s">
        <v>3406</v>
      </c>
      <c r="O2258" t="s">
        <v>22</v>
      </c>
    </row>
    <row r="2259" spans="1:15" hidden="1">
      <c r="A2259" t="s">
        <v>15</v>
      </c>
      <c r="B2259" t="str">
        <f>"FES1162690375"</f>
        <v>FES1162690375</v>
      </c>
      <c r="C2259" s="9">
        <v>43601</v>
      </c>
      <c r="D2259">
        <v>1</v>
      </c>
      <c r="E2259">
        <v>2170688817</v>
      </c>
      <c r="F2259" t="s">
        <v>16</v>
      </c>
      <c r="G2259" t="s">
        <v>17</v>
      </c>
      <c r="H2259" t="s">
        <v>141</v>
      </c>
      <c r="I2259" t="s">
        <v>448</v>
      </c>
      <c r="J2259" t="s">
        <v>449</v>
      </c>
      <c r="K2259" s="9">
        <v>43602</v>
      </c>
      <c r="L2259" s="10">
        <v>0.35625000000000001</v>
      </c>
      <c r="M2259" t="s">
        <v>1182</v>
      </c>
      <c r="N2259" t="s">
        <v>3407</v>
      </c>
      <c r="O2259" t="s">
        <v>22</v>
      </c>
    </row>
    <row r="2260" spans="1:15" hidden="1">
      <c r="A2260" t="s">
        <v>15</v>
      </c>
      <c r="B2260" t="str">
        <f>"009935723240"</f>
        <v>009935723240</v>
      </c>
      <c r="C2260" s="9">
        <v>43601</v>
      </c>
      <c r="D2260">
        <v>1</v>
      </c>
      <c r="E2260">
        <v>1162679857</v>
      </c>
      <c r="F2260" t="s">
        <v>16</v>
      </c>
      <c r="G2260" t="s">
        <v>17</v>
      </c>
      <c r="H2260" t="s">
        <v>525</v>
      </c>
      <c r="I2260" t="s">
        <v>3408</v>
      </c>
      <c r="J2260" t="s">
        <v>3409</v>
      </c>
      <c r="K2260" s="9">
        <v>43605</v>
      </c>
      <c r="L2260" s="10">
        <v>0.39861111111111108</v>
      </c>
      <c r="M2260" s="23">
        <v>9935723240</v>
      </c>
      <c r="N2260" t="s">
        <v>3410</v>
      </c>
      <c r="O2260" t="s">
        <v>2125</v>
      </c>
    </row>
    <row r="2261" spans="1:15" hidden="1">
      <c r="A2261" t="s">
        <v>15</v>
      </c>
      <c r="B2261" t="str">
        <f>"FES1162690385"</f>
        <v>FES1162690385</v>
      </c>
      <c r="C2261" s="9">
        <v>43601</v>
      </c>
      <c r="D2261">
        <v>1</v>
      </c>
      <c r="E2261">
        <v>2170688837</v>
      </c>
      <c r="F2261" t="s">
        <v>16</v>
      </c>
      <c r="G2261" t="s">
        <v>17</v>
      </c>
      <c r="H2261" t="s">
        <v>132</v>
      </c>
      <c r="I2261" t="s">
        <v>133</v>
      </c>
      <c r="J2261" t="s">
        <v>3411</v>
      </c>
      <c r="K2261" s="9">
        <v>43602</v>
      </c>
      <c r="L2261" s="10">
        <v>0.40347222222222223</v>
      </c>
      <c r="M2261" t="s">
        <v>2058</v>
      </c>
      <c r="N2261" t="s">
        <v>3412</v>
      </c>
      <c r="O2261" t="s">
        <v>22</v>
      </c>
    </row>
    <row r="2262" spans="1:15" hidden="1">
      <c r="A2262" t="s">
        <v>15</v>
      </c>
      <c r="B2262" t="str">
        <f>"FES1162690382"</f>
        <v>FES1162690382</v>
      </c>
      <c r="C2262" s="9">
        <v>43601</v>
      </c>
      <c r="D2262">
        <v>1</v>
      </c>
      <c r="E2262">
        <v>2170687806</v>
      </c>
      <c r="F2262" t="s">
        <v>16</v>
      </c>
      <c r="G2262" t="s">
        <v>17</v>
      </c>
      <c r="H2262" t="s">
        <v>141</v>
      </c>
      <c r="I2262" t="s">
        <v>854</v>
      </c>
      <c r="J2262" t="s">
        <v>2191</v>
      </c>
      <c r="K2262" s="9">
        <v>43602</v>
      </c>
      <c r="L2262" s="10">
        <v>0.45833333333333331</v>
      </c>
      <c r="M2262" t="s">
        <v>3405</v>
      </c>
      <c r="N2262" t="s">
        <v>3413</v>
      </c>
      <c r="O2262" t="s">
        <v>22</v>
      </c>
    </row>
    <row r="2263" spans="1:15" hidden="1">
      <c r="A2263" t="s">
        <v>15</v>
      </c>
      <c r="B2263" t="str">
        <f>"FES1162690377"</f>
        <v>FES1162690377</v>
      </c>
      <c r="C2263" s="9">
        <v>43601</v>
      </c>
      <c r="D2263">
        <v>1</v>
      </c>
      <c r="E2263">
        <v>2170688823</v>
      </c>
      <c r="F2263" t="s">
        <v>16</v>
      </c>
      <c r="G2263" t="s">
        <v>17</v>
      </c>
      <c r="H2263" t="s">
        <v>32</v>
      </c>
      <c r="I2263" t="s">
        <v>33</v>
      </c>
      <c r="J2263" t="s">
        <v>778</v>
      </c>
      <c r="K2263" s="9">
        <v>43602</v>
      </c>
      <c r="L2263" s="10">
        <v>0.4152777777777778</v>
      </c>
      <c r="M2263" t="s">
        <v>3308</v>
      </c>
      <c r="N2263" t="s">
        <v>3414</v>
      </c>
      <c r="O2263" t="s">
        <v>22</v>
      </c>
    </row>
    <row r="2264" spans="1:15" hidden="1">
      <c r="A2264" t="s">
        <v>15</v>
      </c>
      <c r="B2264" t="str">
        <f>"FES1162690361"</f>
        <v>FES1162690361</v>
      </c>
      <c r="C2264" s="9">
        <v>43601</v>
      </c>
      <c r="D2264">
        <v>1</v>
      </c>
      <c r="E2264">
        <v>2170688811</v>
      </c>
      <c r="F2264" t="s">
        <v>16</v>
      </c>
      <c r="G2264" t="s">
        <v>17</v>
      </c>
      <c r="H2264" t="s">
        <v>290</v>
      </c>
      <c r="I2264" t="s">
        <v>291</v>
      </c>
      <c r="J2264" t="s">
        <v>1187</v>
      </c>
      <c r="K2264" s="9">
        <v>43602</v>
      </c>
      <c r="L2264" s="10">
        <v>0.38194444444444442</v>
      </c>
      <c r="M2264" t="s">
        <v>2560</v>
      </c>
      <c r="N2264" t="s">
        <v>3415</v>
      </c>
      <c r="O2264" t="s">
        <v>22</v>
      </c>
    </row>
    <row r="2265" spans="1:15" hidden="1">
      <c r="A2265" s="6" t="s">
        <v>15</v>
      </c>
      <c r="B2265" s="6" t="str">
        <f>"FES1162690380"</f>
        <v>FES1162690380</v>
      </c>
      <c r="C2265" s="7">
        <v>43601</v>
      </c>
      <c r="D2265" s="6">
        <v>1</v>
      </c>
      <c r="E2265" s="6">
        <v>2170688828</v>
      </c>
      <c r="F2265" s="6" t="s">
        <v>16</v>
      </c>
      <c r="G2265" s="6" t="s">
        <v>17</v>
      </c>
      <c r="H2265" s="6" t="s">
        <v>32</v>
      </c>
      <c r="I2265" s="6" t="s">
        <v>33</v>
      </c>
      <c r="J2265" s="6" t="s">
        <v>365</v>
      </c>
      <c r="K2265" s="7">
        <v>43602</v>
      </c>
      <c r="L2265" s="8">
        <v>0.375</v>
      </c>
      <c r="M2265" s="6" t="s">
        <v>1349</v>
      </c>
      <c r="N2265" s="6" t="s">
        <v>21</v>
      </c>
      <c r="O2265" s="6" t="s">
        <v>22</v>
      </c>
    </row>
    <row r="2266" spans="1:15">
      <c r="A2266" s="14" t="s">
        <v>15</v>
      </c>
      <c r="B2266" s="14" t="str">
        <f>"FES1162690384"</f>
        <v>FES1162690384</v>
      </c>
      <c r="C2266" s="15">
        <v>43601</v>
      </c>
      <c r="D2266" s="14">
        <v>1</v>
      </c>
      <c r="E2266" s="14">
        <v>2170688832</v>
      </c>
      <c r="F2266" s="14" t="s">
        <v>16</v>
      </c>
      <c r="G2266" s="14" t="s">
        <v>17</v>
      </c>
      <c r="H2266" s="14" t="s">
        <v>17</v>
      </c>
      <c r="I2266" s="14" t="s">
        <v>18</v>
      </c>
      <c r="J2266" s="14" t="s">
        <v>19</v>
      </c>
      <c r="K2266" s="15">
        <v>43602</v>
      </c>
      <c r="L2266" s="16">
        <v>0.4201388888888889</v>
      </c>
      <c r="M2266" s="14" t="s">
        <v>2039</v>
      </c>
      <c r="N2266" s="14" t="s">
        <v>21</v>
      </c>
      <c r="O2266" s="14" t="s">
        <v>22</v>
      </c>
    </row>
    <row r="2267" spans="1:15">
      <c r="A2267" s="6" t="s">
        <v>15</v>
      </c>
      <c r="B2267" s="6" t="str">
        <f>"FES1162690386"</f>
        <v>FES1162690386</v>
      </c>
      <c r="C2267" s="7">
        <v>43601</v>
      </c>
      <c r="D2267" s="6">
        <v>1</v>
      </c>
      <c r="E2267" s="6">
        <v>2170688806</v>
      </c>
      <c r="F2267" s="6" t="s">
        <v>16</v>
      </c>
      <c r="G2267" s="6" t="s">
        <v>17</v>
      </c>
      <c r="H2267" s="6" t="s">
        <v>17</v>
      </c>
      <c r="I2267" s="6" t="s">
        <v>148</v>
      </c>
      <c r="J2267" s="6" t="s">
        <v>164</v>
      </c>
      <c r="K2267" s="7">
        <v>43605</v>
      </c>
      <c r="L2267" s="8">
        <v>0.35416666666666669</v>
      </c>
      <c r="M2267" s="6" t="s">
        <v>3404</v>
      </c>
      <c r="N2267" s="6" t="s">
        <v>21</v>
      </c>
      <c r="O2267" s="6" t="s">
        <v>22</v>
      </c>
    </row>
    <row r="2268" spans="1:15" hidden="1">
      <c r="A2268" t="s">
        <v>15</v>
      </c>
      <c r="B2268" t="str">
        <f>"FES1162690390"</f>
        <v>FES1162690390</v>
      </c>
      <c r="C2268" s="9">
        <v>43601</v>
      </c>
      <c r="D2268">
        <v>1</v>
      </c>
      <c r="E2268">
        <v>2170688613</v>
      </c>
      <c r="F2268" t="s">
        <v>16</v>
      </c>
      <c r="G2268" t="s">
        <v>17</v>
      </c>
      <c r="H2268" t="s">
        <v>43</v>
      </c>
      <c r="I2268" t="s">
        <v>44</v>
      </c>
      <c r="J2268" t="s">
        <v>51</v>
      </c>
      <c r="K2268" s="9">
        <v>43602</v>
      </c>
      <c r="L2268" s="10">
        <v>0.31805555555555554</v>
      </c>
      <c r="M2268" t="s">
        <v>2998</v>
      </c>
      <c r="N2268" t="s">
        <v>3416</v>
      </c>
      <c r="O2268" t="s">
        <v>22</v>
      </c>
    </row>
    <row r="2269" spans="1:15" hidden="1">
      <c r="A2269" t="s">
        <v>15</v>
      </c>
      <c r="B2269" t="str">
        <f>"FES1162690389"</f>
        <v>FES1162690389</v>
      </c>
      <c r="C2269" s="9">
        <v>43601</v>
      </c>
      <c r="D2269">
        <v>1</v>
      </c>
      <c r="E2269">
        <v>2170688518</v>
      </c>
      <c r="F2269" t="s">
        <v>16</v>
      </c>
      <c r="G2269" t="s">
        <v>17</v>
      </c>
      <c r="H2269" t="s">
        <v>37</v>
      </c>
      <c r="I2269" t="s">
        <v>38</v>
      </c>
      <c r="J2269" t="s">
        <v>766</v>
      </c>
      <c r="K2269" s="9">
        <v>43602</v>
      </c>
      <c r="L2269" s="10">
        <v>0.39305555555555555</v>
      </c>
      <c r="M2269" t="s">
        <v>767</v>
      </c>
      <c r="N2269" t="s">
        <v>3417</v>
      </c>
      <c r="O2269" t="s">
        <v>22</v>
      </c>
    </row>
    <row r="2270" spans="1:15" hidden="1">
      <c r="A2270" t="s">
        <v>15</v>
      </c>
      <c r="B2270" t="str">
        <f>"029908249228"</f>
        <v>029908249228</v>
      </c>
      <c r="C2270" s="9">
        <v>43601</v>
      </c>
      <c r="D2270">
        <v>1</v>
      </c>
      <c r="E2270" t="s">
        <v>22</v>
      </c>
      <c r="F2270" t="s">
        <v>16</v>
      </c>
      <c r="G2270" t="s">
        <v>141</v>
      </c>
      <c r="H2270" t="s">
        <v>59</v>
      </c>
      <c r="I2270" t="s">
        <v>64</v>
      </c>
      <c r="J2270" t="s">
        <v>1061</v>
      </c>
      <c r="K2270" s="9">
        <v>43602</v>
      </c>
      <c r="L2270" s="10">
        <v>0.36249999999999999</v>
      </c>
      <c r="M2270" t="s">
        <v>477</v>
      </c>
      <c r="N2270" t="s">
        <v>3418</v>
      </c>
      <c r="O2270" t="s">
        <v>22</v>
      </c>
    </row>
    <row r="2271" spans="1:15" hidden="1">
      <c r="A2271" t="s">
        <v>15</v>
      </c>
      <c r="B2271" t="str">
        <f>"FES1162690416"</f>
        <v>FES1162690416</v>
      </c>
      <c r="C2271" s="9">
        <v>43602</v>
      </c>
      <c r="D2271">
        <v>1</v>
      </c>
      <c r="E2271">
        <v>2170688865</v>
      </c>
      <c r="F2271" t="s">
        <v>16</v>
      </c>
      <c r="G2271" t="s">
        <v>17</v>
      </c>
      <c r="H2271" t="s">
        <v>37</v>
      </c>
      <c r="I2271" t="s">
        <v>38</v>
      </c>
      <c r="J2271" t="s">
        <v>766</v>
      </c>
      <c r="K2271" s="9">
        <v>43605</v>
      </c>
      <c r="L2271" s="10">
        <v>0.35416666666666669</v>
      </c>
      <c r="M2271" t="s">
        <v>1247</v>
      </c>
      <c r="N2271" t="s">
        <v>3419</v>
      </c>
      <c r="O2271" t="s">
        <v>22</v>
      </c>
    </row>
    <row r="2272" spans="1:15" hidden="1">
      <c r="A2272" t="s">
        <v>15</v>
      </c>
      <c r="B2272" t="str">
        <f>"FES1162690478"</f>
        <v>FES1162690478</v>
      </c>
      <c r="C2272" s="9">
        <v>43602</v>
      </c>
      <c r="D2272">
        <v>1</v>
      </c>
      <c r="E2272">
        <v>2170688949</v>
      </c>
      <c r="F2272" t="s">
        <v>16</v>
      </c>
      <c r="G2272" t="s">
        <v>17</v>
      </c>
      <c r="H2272" t="s">
        <v>132</v>
      </c>
      <c r="I2272" t="s">
        <v>133</v>
      </c>
      <c r="J2272" t="s">
        <v>1008</v>
      </c>
      <c r="K2272" s="9">
        <v>43605</v>
      </c>
      <c r="L2272" s="10">
        <v>0.42708333333333331</v>
      </c>
      <c r="M2272" t="s">
        <v>1009</v>
      </c>
      <c r="N2272" t="s">
        <v>3420</v>
      </c>
      <c r="O2272" t="s">
        <v>22</v>
      </c>
    </row>
    <row r="2273" spans="1:15" hidden="1">
      <c r="A2273" t="s">
        <v>15</v>
      </c>
      <c r="B2273" t="str">
        <f>"FES1162690463"</f>
        <v>FES1162690463</v>
      </c>
      <c r="C2273" s="9">
        <v>43602</v>
      </c>
      <c r="D2273">
        <v>1</v>
      </c>
      <c r="E2273">
        <v>2170688925</v>
      </c>
      <c r="F2273" t="s">
        <v>2166</v>
      </c>
      <c r="G2273" t="s">
        <v>17</v>
      </c>
      <c r="H2273" t="s">
        <v>43</v>
      </c>
      <c r="I2273" t="s">
        <v>44</v>
      </c>
      <c r="J2273" t="s">
        <v>751</v>
      </c>
      <c r="K2273" s="9">
        <v>43603</v>
      </c>
      <c r="L2273" s="10">
        <v>0.41666666666666669</v>
      </c>
      <c r="M2273" t="s">
        <v>1104</v>
      </c>
      <c r="N2273" t="s">
        <v>3421</v>
      </c>
      <c r="O2273" t="s">
        <v>2348</v>
      </c>
    </row>
    <row r="2274" spans="1:15" hidden="1">
      <c r="A2274" t="s">
        <v>15</v>
      </c>
      <c r="B2274" t="str">
        <f>"FES1162690399"</f>
        <v>FES1162690399</v>
      </c>
      <c r="C2274" s="9">
        <v>43602</v>
      </c>
      <c r="D2274">
        <v>1</v>
      </c>
      <c r="E2274">
        <v>2170688548</v>
      </c>
      <c r="F2274" t="s">
        <v>16</v>
      </c>
      <c r="G2274" t="s">
        <v>17</v>
      </c>
      <c r="H2274" t="s">
        <v>43</v>
      </c>
      <c r="I2274" t="s">
        <v>75</v>
      </c>
      <c r="J2274" t="s">
        <v>3422</v>
      </c>
      <c r="K2274" s="9">
        <v>43605</v>
      </c>
      <c r="L2274" s="10">
        <v>0.32430555555555557</v>
      </c>
      <c r="M2274" t="s">
        <v>2510</v>
      </c>
      <c r="N2274" t="s">
        <v>3423</v>
      </c>
      <c r="O2274" t="s">
        <v>22</v>
      </c>
    </row>
    <row r="2275" spans="1:15" hidden="1">
      <c r="A2275" t="s">
        <v>15</v>
      </c>
      <c r="B2275" t="str">
        <f>"FES1162690408"</f>
        <v>FES1162690408</v>
      </c>
      <c r="C2275" s="9">
        <v>43602</v>
      </c>
      <c r="D2275">
        <v>1</v>
      </c>
      <c r="E2275">
        <v>2170688845</v>
      </c>
      <c r="F2275" t="s">
        <v>16</v>
      </c>
      <c r="G2275" t="s">
        <v>17</v>
      </c>
      <c r="H2275" t="s">
        <v>425</v>
      </c>
      <c r="I2275" t="s">
        <v>426</v>
      </c>
      <c r="J2275" t="s">
        <v>783</v>
      </c>
      <c r="K2275" s="9">
        <v>43605</v>
      </c>
      <c r="L2275" s="10">
        <v>0.3743055555555555</v>
      </c>
      <c r="M2275" t="s">
        <v>784</v>
      </c>
      <c r="N2275" t="s">
        <v>3424</v>
      </c>
      <c r="O2275" t="s">
        <v>22</v>
      </c>
    </row>
    <row r="2276" spans="1:15" hidden="1">
      <c r="A2276" t="s">
        <v>15</v>
      </c>
      <c r="B2276" t="str">
        <f>"FES1162690458"</f>
        <v>FES1162690458</v>
      </c>
      <c r="C2276" s="9">
        <v>43602</v>
      </c>
      <c r="D2276">
        <v>1</v>
      </c>
      <c r="E2276">
        <v>2170688927</v>
      </c>
      <c r="F2276" t="s">
        <v>16</v>
      </c>
      <c r="G2276" t="s">
        <v>17</v>
      </c>
      <c r="H2276" t="s">
        <v>43</v>
      </c>
      <c r="I2276" t="s">
        <v>44</v>
      </c>
      <c r="J2276" t="s">
        <v>733</v>
      </c>
      <c r="K2276" s="9">
        <v>43605</v>
      </c>
      <c r="L2276" s="10">
        <v>0.41666666666666669</v>
      </c>
      <c r="M2276" t="s">
        <v>714</v>
      </c>
      <c r="N2276" t="s">
        <v>3425</v>
      </c>
      <c r="O2276" t="s">
        <v>22</v>
      </c>
    </row>
    <row r="2277" spans="1:15" hidden="1">
      <c r="A2277" t="s">
        <v>15</v>
      </c>
      <c r="B2277" t="str">
        <f>"FES1162690409"</f>
        <v>FES1162690409</v>
      </c>
      <c r="C2277" s="9">
        <v>43602</v>
      </c>
      <c r="D2277">
        <v>1</v>
      </c>
      <c r="E2277">
        <v>2170688846</v>
      </c>
      <c r="F2277" t="s">
        <v>16</v>
      </c>
      <c r="G2277" t="s">
        <v>17</v>
      </c>
      <c r="H2277" t="s">
        <v>43</v>
      </c>
      <c r="I2277" t="s">
        <v>44</v>
      </c>
      <c r="J2277" t="s">
        <v>336</v>
      </c>
      <c r="K2277" s="9">
        <v>43605</v>
      </c>
      <c r="L2277" s="10">
        <v>0.36458333333333331</v>
      </c>
      <c r="M2277" t="s">
        <v>2540</v>
      </c>
      <c r="N2277" t="s">
        <v>3426</v>
      </c>
      <c r="O2277" t="s">
        <v>22</v>
      </c>
    </row>
    <row r="2278" spans="1:15" hidden="1">
      <c r="A2278" s="14" t="s">
        <v>15</v>
      </c>
      <c r="B2278" s="14" t="str">
        <f>"FES1162690467"</f>
        <v>FES1162690467</v>
      </c>
      <c r="C2278" s="15">
        <v>43602</v>
      </c>
      <c r="D2278" s="14">
        <v>1</v>
      </c>
      <c r="E2278" s="14">
        <v>2170688936</v>
      </c>
      <c r="F2278" s="14" t="s">
        <v>16</v>
      </c>
      <c r="G2278" s="14" t="s">
        <v>17</v>
      </c>
      <c r="H2278" s="14" t="s">
        <v>43</v>
      </c>
      <c r="I2278" s="14" t="s">
        <v>44</v>
      </c>
      <c r="J2278" s="14" t="s">
        <v>748</v>
      </c>
      <c r="K2278" s="15">
        <v>43605</v>
      </c>
      <c r="L2278" s="16">
        <v>0.41666666666666669</v>
      </c>
      <c r="M2278" s="14" t="s">
        <v>3427</v>
      </c>
      <c r="N2278" s="14" t="s">
        <v>21</v>
      </c>
      <c r="O2278" s="14" t="s">
        <v>22</v>
      </c>
    </row>
    <row r="2279" spans="1:15">
      <c r="A2279" s="6" t="s">
        <v>15</v>
      </c>
      <c r="B2279" s="6" t="str">
        <f>"FES1162690468"</f>
        <v>FES1162690468</v>
      </c>
      <c r="C2279" s="7">
        <v>43602</v>
      </c>
      <c r="D2279" s="6">
        <v>1</v>
      </c>
      <c r="E2279" s="6">
        <v>2170688937</v>
      </c>
      <c r="F2279" s="6" t="s">
        <v>16</v>
      </c>
      <c r="G2279" s="6" t="s">
        <v>17</v>
      </c>
      <c r="H2279" s="6" t="s">
        <v>17</v>
      </c>
      <c r="I2279" s="6" t="s">
        <v>64</v>
      </c>
      <c r="J2279" s="6" t="s">
        <v>552</v>
      </c>
      <c r="K2279" s="7">
        <v>43605</v>
      </c>
      <c r="L2279" s="8">
        <v>0.33333333333333331</v>
      </c>
      <c r="M2279" s="6" t="s">
        <v>100</v>
      </c>
      <c r="N2279" s="6" t="s">
        <v>21</v>
      </c>
      <c r="O2279" s="6" t="s">
        <v>22</v>
      </c>
    </row>
    <row r="2280" spans="1:15" hidden="1">
      <c r="A2280" s="20" t="s">
        <v>15</v>
      </c>
      <c r="B2280" s="20" t="str">
        <f>"FES1162690443"</f>
        <v>FES1162690443</v>
      </c>
      <c r="C2280" s="21">
        <v>43602</v>
      </c>
      <c r="D2280" s="20">
        <v>1</v>
      </c>
      <c r="E2280" s="20">
        <v>2170688149</v>
      </c>
      <c r="F2280" s="20" t="s">
        <v>16</v>
      </c>
      <c r="G2280" s="20" t="s">
        <v>17</v>
      </c>
      <c r="H2280" s="20" t="s">
        <v>1507</v>
      </c>
      <c r="I2280" s="20" t="s">
        <v>421</v>
      </c>
      <c r="J2280" s="20" t="s">
        <v>3428</v>
      </c>
      <c r="K2280" s="21">
        <v>43605</v>
      </c>
      <c r="L2280" s="22">
        <v>0.33333333333333331</v>
      </c>
      <c r="M2280" s="20" t="s">
        <v>3429</v>
      </c>
      <c r="N2280" s="20" t="s">
        <v>21</v>
      </c>
      <c r="O2280" s="20" t="s">
        <v>22</v>
      </c>
    </row>
    <row r="2281" spans="1:15">
      <c r="A2281" s="6" t="s">
        <v>15</v>
      </c>
      <c r="B2281" s="6" t="str">
        <f>"FES1162690456"</f>
        <v>FES1162690456</v>
      </c>
      <c r="C2281" s="7">
        <v>43602</v>
      </c>
      <c r="D2281" s="6">
        <v>1</v>
      </c>
      <c r="E2281" s="6">
        <v>2170688924</v>
      </c>
      <c r="F2281" s="6" t="s">
        <v>16</v>
      </c>
      <c r="G2281" s="6" t="s">
        <v>17</v>
      </c>
      <c r="H2281" s="6" t="s">
        <v>17</v>
      </c>
      <c r="I2281" s="6" t="s">
        <v>67</v>
      </c>
      <c r="J2281" s="6" t="s">
        <v>571</v>
      </c>
      <c r="K2281" s="7">
        <v>43605</v>
      </c>
      <c r="L2281" s="8">
        <v>0.52013888888888882</v>
      </c>
      <c r="M2281" s="6" t="s">
        <v>1641</v>
      </c>
      <c r="N2281" s="6" t="s">
        <v>21</v>
      </c>
      <c r="O2281" s="6" t="s">
        <v>22</v>
      </c>
    </row>
    <row r="2282" spans="1:15" hidden="1">
      <c r="A2282" s="3" t="s">
        <v>15</v>
      </c>
      <c r="B2282" s="3" t="str">
        <f>"FES1162690182"</f>
        <v>FES1162690182</v>
      </c>
      <c r="C2282" s="4">
        <v>43602</v>
      </c>
      <c r="D2282" s="3">
        <v>1</v>
      </c>
      <c r="E2282" s="3">
        <v>2170688609</v>
      </c>
      <c r="F2282" s="3" t="s">
        <v>16</v>
      </c>
      <c r="G2282" s="3" t="s">
        <v>17</v>
      </c>
      <c r="H2282" s="3" t="s">
        <v>32</v>
      </c>
      <c r="I2282" s="3" t="s">
        <v>33</v>
      </c>
      <c r="J2282" s="3" t="s">
        <v>2108</v>
      </c>
      <c r="K2282" s="4">
        <v>43606</v>
      </c>
      <c r="L2282" s="5">
        <v>0.37083333333333335</v>
      </c>
      <c r="M2282" s="3" t="s">
        <v>3430</v>
      </c>
      <c r="N2282" s="3" t="s">
        <v>21</v>
      </c>
      <c r="O2282" s="3" t="s">
        <v>22</v>
      </c>
    </row>
    <row r="2283" spans="1:15">
      <c r="A2283" s="14" t="s">
        <v>15</v>
      </c>
      <c r="B2283" s="14" t="str">
        <f>"FES1162690423"</f>
        <v>FES1162690423</v>
      </c>
      <c r="C2283" s="15">
        <v>43602</v>
      </c>
      <c r="D2283" s="14">
        <v>1</v>
      </c>
      <c r="E2283" s="14">
        <v>2170688873</v>
      </c>
      <c r="F2283" s="14" t="s">
        <v>16</v>
      </c>
      <c r="G2283" s="14" t="s">
        <v>17</v>
      </c>
      <c r="H2283" s="14" t="s">
        <v>17</v>
      </c>
      <c r="I2283" s="14" t="s">
        <v>26</v>
      </c>
      <c r="J2283" s="14" t="s">
        <v>2386</v>
      </c>
      <c r="K2283" s="15">
        <v>43605</v>
      </c>
      <c r="L2283" s="16">
        <v>0.33333333333333331</v>
      </c>
      <c r="M2283" s="14" t="s">
        <v>2587</v>
      </c>
      <c r="N2283" s="14" t="s">
        <v>21</v>
      </c>
      <c r="O2283" s="14" t="s">
        <v>22</v>
      </c>
    </row>
    <row r="2284" spans="1:15">
      <c r="A2284" s="6" t="s">
        <v>15</v>
      </c>
      <c r="B2284" s="6" t="str">
        <f>"FES1162690426"</f>
        <v>FES1162690426</v>
      </c>
      <c r="C2284" s="7">
        <v>43602</v>
      </c>
      <c r="D2284" s="6">
        <v>1</v>
      </c>
      <c r="E2284" s="6">
        <v>2170688878</v>
      </c>
      <c r="F2284" s="6" t="s">
        <v>16</v>
      </c>
      <c r="G2284" s="6" t="s">
        <v>17</v>
      </c>
      <c r="H2284" s="6" t="s">
        <v>17</v>
      </c>
      <c r="I2284" s="6" t="s">
        <v>414</v>
      </c>
      <c r="J2284" s="6" t="s">
        <v>609</v>
      </c>
      <c r="K2284" s="7">
        <v>43605</v>
      </c>
      <c r="L2284" s="8">
        <v>0.4375</v>
      </c>
      <c r="M2284" s="6" t="s">
        <v>325</v>
      </c>
      <c r="N2284" s="6" t="s">
        <v>21</v>
      </c>
      <c r="O2284" s="6" t="s">
        <v>22</v>
      </c>
    </row>
    <row r="2285" spans="1:15" hidden="1">
      <c r="A2285" s="20" t="s">
        <v>15</v>
      </c>
      <c r="B2285" s="20" t="str">
        <f>"FES1162690405"</f>
        <v>FES1162690405</v>
      </c>
      <c r="C2285" s="21">
        <v>43602</v>
      </c>
      <c r="D2285" s="20">
        <v>1</v>
      </c>
      <c r="E2285" s="20">
        <v>2170688840</v>
      </c>
      <c r="F2285" s="20" t="s">
        <v>16</v>
      </c>
      <c r="G2285" s="20" t="s">
        <v>17</v>
      </c>
      <c r="H2285" s="20" t="s">
        <v>32</v>
      </c>
      <c r="I2285" s="20" t="s">
        <v>269</v>
      </c>
      <c r="J2285" s="20" t="s">
        <v>1568</v>
      </c>
      <c r="K2285" s="21">
        <v>43605</v>
      </c>
      <c r="L2285" s="22">
        <v>0.34375</v>
      </c>
      <c r="M2285" s="20" t="s">
        <v>1569</v>
      </c>
      <c r="N2285" s="20" t="s">
        <v>21</v>
      </c>
      <c r="O2285" s="20" t="s">
        <v>22</v>
      </c>
    </row>
    <row r="2286" spans="1:15">
      <c r="A2286" s="6" t="s">
        <v>15</v>
      </c>
      <c r="B2286" s="6" t="str">
        <f>"FES1162690415"</f>
        <v>FES1162690415</v>
      </c>
      <c r="C2286" s="7">
        <v>43602</v>
      </c>
      <c r="D2286" s="6">
        <v>1</v>
      </c>
      <c r="E2286" s="6">
        <v>2170688864</v>
      </c>
      <c r="F2286" s="6" t="s">
        <v>16</v>
      </c>
      <c r="G2286" s="6" t="s">
        <v>17</v>
      </c>
      <c r="H2286" s="6" t="s">
        <v>17</v>
      </c>
      <c r="I2286" s="6" t="s">
        <v>23</v>
      </c>
      <c r="J2286" s="6" t="s">
        <v>119</v>
      </c>
      <c r="K2286" s="7">
        <v>43605</v>
      </c>
      <c r="L2286" s="8">
        <v>0.27152777777777776</v>
      </c>
      <c r="M2286" s="6" t="s">
        <v>1473</v>
      </c>
      <c r="N2286" s="6" t="s">
        <v>21</v>
      </c>
      <c r="O2286" s="6" t="s">
        <v>22</v>
      </c>
    </row>
    <row r="2287" spans="1:15" hidden="1">
      <c r="A2287" t="s">
        <v>15</v>
      </c>
      <c r="B2287" t="str">
        <f>"FES1162690483"</f>
        <v>FES1162690483</v>
      </c>
      <c r="C2287" s="9">
        <v>43602</v>
      </c>
      <c r="D2287">
        <v>1</v>
      </c>
      <c r="E2287">
        <v>2170688959</v>
      </c>
      <c r="F2287" t="s">
        <v>16</v>
      </c>
      <c r="G2287" t="s">
        <v>17</v>
      </c>
      <c r="H2287" t="s">
        <v>290</v>
      </c>
      <c r="I2287" t="s">
        <v>291</v>
      </c>
      <c r="J2287" t="s">
        <v>2766</v>
      </c>
      <c r="K2287" s="9">
        <v>43605</v>
      </c>
      <c r="L2287" s="10">
        <v>0.375</v>
      </c>
      <c r="M2287" t="s">
        <v>3431</v>
      </c>
      <c r="N2287" t="s">
        <v>3432</v>
      </c>
      <c r="O2287" t="s">
        <v>22</v>
      </c>
    </row>
    <row r="2288" spans="1:15" hidden="1">
      <c r="A2288" t="s">
        <v>15</v>
      </c>
      <c r="B2288" t="str">
        <f>"FES1162690428"</f>
        <v>FES1162690428</v>
      </c>
      <c r="C2288" s="9">
        <v>43602</v>
      </c>
      <c r="D2288">
        <v>1</v>
      </c>
      <c r="E2288">
        <v>2170688882</v>
      </c>
      <c r="F2288" t="s">
        <v>16</v>
      </c>
      <c r="G2288" t="s">
        <v>17</v>
      </c>
      <c r="H2288" t="s">
        <v>141</v>
      </c>
      <c r="I2288" t="s">
        <v>854</v>
      </c>
      <c r="J2288" t="s">
        <v>2191</v>
      </c>
      <c r="K2288" s="9">
        <v>43605</v>
      </c>
      <c r="L2288" s="10">
        <v>0.4375</v>
      </c>
      <c r="M2288" t="s">
        <v>855</v>
      </c>
      <c r="N2288" t="s">
        <v>3433</v>
      </c>
      <c r="O2288" t="s">
        <v>22</v>
      </c>
    </row>
    <row r="2289" spans="1:15" hidden="1">
      <c r="A2289" s="14" t="s">
        <v>15</v>
      </c>
      <c r="B2289" s="14" t="str">
        <f>"FES1162690424"</f>
        <v>FES1162690424</v>
      </c>
      <c r="C2289" s="15">
        <v>43602</v>
      </c>
      <c r="D2289" s="14">
        <v>1</v>
      </c>
      <c r="E2289" s="14">
        <v>2170688875</v>
      </c>
      <c r="F2289" s="14" t="s">
        <v>16</v>
      </c>
      <c r="G2289" s="14" t="s">
        <v>17</v>
      </c>
      <c r="H2289" s="14" t="s">
        <v>132</v>
      </c>
      <c r="I2289" s="14" t="s">
        <v>133</v>
      </c>
      <c r="J2289" s="14" t="s">
        <v>639</v>
      </c>
      <c r="K2289" s="15">
        <v>43605</v>
      </c>
      <c r="L2289" s="16">
        <v>0.41666666666666669</v>
      </c>
      <c r="M2289" s="14" t="s">
        <v>3434</v>
      </c>
      <c r="N2289" s="14" t="s">
        <v>21</v>
      </c>
      <c r="O2289" s="14" t="s">
        <v>22</v>
      </c>
    </row>
    <row r="2290" spans="1:15">
      <c r="A2290" s="6" t="s">
        <v>15</v>
      </c>
      <c r="B2290" s="6" t="str">
        <f>"FES1162690449"</f>
        <v>FES1162690449</v>
      </c>
      <c r="C2290" s="7">
        <v>43602</v>
      </c>
      <c r="D2290" s="6">
        <v>1</v>
      </c>
      <c r="E2290" s="6">
        <v>2170688827</v>
      </c>
      <c r="F2290" s="6" t="s">
        <v>16</v>
      </c>
      <c r="G2290" s="6" t="s">
        <v>17</v>
      </c>
      <c r="H2290" s="6" t="s">
        <v>17</v>
      </c>
      <c r="I2290" s="6" t="s">
        <v>18</v>
      </c>
      <c r="J2290" s="6" t="s">
        <v>335</v>
      </c>
      <c r="K2290" s="7">
        <v>43605</v>
      </c>
      <c r="L2290" s="8">
        <v>0.33333333333333331</v>
      </c>
      <c r="M2290" s="6" t="s">
        <v>3435</v>
      </c>
      <c r="N2290" s="6" t="s">
        <v>21</v>
      </c>
      <c r="O2290" s="6" t="s">
        <v>22</v>
      </c>
    </row>
    <row r="2291" spans="1:15" hidden="1">
      <c r="A2291" s="20" t="s">
        <v>15</v>
      </c>
      <c r="B2291" s="20" t="str">
        <f>"FES1162690451"</f>
        <v>FES1162690451</v>
      </c>
      <c r="C2291" s="21">
        <v>43602</v>
      </c>
      <c r="D2291" s="20">
        <v>1</v>
      </c>
      <c r="E2291" s="20">
        <v>2170688914</v>
      </c>
      <c r="F2291" s="20" t="s">
        <v>16</v>
      </c>
      <c r="G2291" s="20" t="s">
        <v>17</v>
      </c>
      <c r="H2291" s="20" t="s">
        <v>59</v>
      </c>
      <c r="I2291" s="20" t="s">
        <v>18</v>
      </c>
      <c r="J2291" s="20" t="s">
        <v>19</v>
      </c>
      <c r="K2291" s="21">
        <v>43605</v>
      </c>
      <c r="L2291" s="22">
        <v>0.3611111111111111</v>
      </c>
      <c r="M2291" s="20" t="s">
        <v>1472</v>
      </c>
      <c r="N2291" s="20" t="s">
        <v>21</v>
      </c>
      <c r="O2291" s="20" t="s">
        <v>22</v>
      </c>
    </row>
    <row r="2292" spans="1:15">
      <c r="A2292" s="6" t="s">
        <v>15</v>
      </c>
      <c r="B2292" s="6" t="str">
        <f>"FES1162690459"</f>
        <v>FES1162690459</v>
      </c>
      <c r="C2292" s="7">
        <v>43602</v>
      </c>
      <c r="D2292" s="6">
        <v>1</v>
      </c>
      <c r="E2292" s="6">
        <v>2170688928</v>
      </c>
      <c r="F2292" s="6" t="s">
        <v>16</v>
      </c>
      <c r="G2292" s="6" t="s">
        <v>17</v>
      </c>
      <c r="H2292" s="6" t="s">
        <v>17</v>
      </c>
      <c r="I2292" s="6" t="s">
        <v>64</v>
      </c>
      <c r="J2292" s="6" t="s">
        <v>3436</v>
      </c>
      <c r="K2292" s="7">
        <v>43605</v>
      </c>
      <c r="L2292" s="8">
        <v>0.45833333333333331</v>
      </c>
      <c r="M2292" s="6" t="s">
        <v>1070</v>
      </c>
      <c r="N2292" s="6" t="s">
        <v>21</v>
      </c>
      <c r="O2292" s="6" t="s">
        <v>22</v>
      </c>
    </row>
    <row r="2293" spans="1:15" hidden="1">
      <c r="A2293" t="s">
        <v>15</v>
      </c>
      <c r="B2293" t="str">
        <f>"FES1162690440"</f>
        <v>FES1162690440</v>
      </c>
      <c r="C2293" s="9">
        <v>43602</v>
      </c>
      <c r="D2293">
        <v>1</v>
      </c>
      <c r="E2293">
        <v>2170688903</v>
      </c>
      <c r="F2293" t="s">
        <v>16</v>
      </c>
      <c r="G2293" t="s">
        <v>17</v>
      </c>
      <c r="H2293" t="s">
        <v>132</v>
      </c>
      <c r="I2293" t="s">
        <v>133</v>
      </c>
      <c r="J2293" t="s">
        <v>639</v>
      </c>
      <c r="K2293" s="9">
        <v>43605</v>
      </c>
      <c r="L2293" s="10">
        <v>0.41666666666666669</v>
      </c>
      <c r="M2293" t="s">
        <v>3434</v>
      </c>
      <c r="N2293" t="s">
        <v>3437</v>
      </c>
      <c r="O2293" t="s">
        <v>22</v>
      </c>
    </row>
    <row r="2294" spans="1:15" hidden="1">
      <c r="A2294" t="s">
        <v>15</v>
      </c>
      <c r="B2294" t="str">
        <f>"FES1162690393"</f>
        <v>FES1162690393</v>
      </c>
      <c r="C2294" s="9">
        <v>43602</v>
      </c>
      <c r="D2294">
        <v>1</v>
      </c>
      <c r="E2294">
        <v>2170687236</v>
      </c>
      <c r="F2294" t="s">
        <v>16</v>
      </c>
      <c r="G2294" t="s">
        <v>17</v>
      </c>
      <c r="H2294" t="s">
        <v>43</v>
      </c>
      <c r="I2294" t="s">
        <v>44</v>
      </c>
      <c r="J2294" t="s">
        <v>176</v>
      </c>
      <c r="K2294" s="9">
        <v>43605</v>
      </c>
      <c r="L2294" s="10">
        <v>0.31388888888888888</v>
      </c>
      <c r="M2294" t="s">
        <v>3438</v>
      </c>
      <c r="N2294" t="s">
        <v>3439</v>
      </c>
      <c r="O2294" t="s">
        <v>22</v>
      </c>
    </row>
    <row r="2295" spans="1:15" hidden="1">
      <c r="A2295" t="s">
        <v>15</v>
      </c>
      <c r="B2295" t="str">
        <f>"FES1162690400"</f>
        <v>FES1162690400</v>
      </c>
      <c r="C2295" s="9">
        <v>43602</v>
      </c>
      <c r="D2295">
        <v>1</v>
      </c>
      <c r="E2295">
        <v>2170688549</v>
      </c>
      <c r="F2295" t="s">
        <v>16</v>
      </c>
      <c r="G2295" t="s">
        <v>17</v>
      </c>
      <c r="H2295" t="s">
        <v>43</v>
      </c>
      <c r="I2295" t="s">
        <v>75</v>
      </c>
      <c r="J2295" t="s">
        <v>222</v>
      </c>
      <c r="K2295" s="9">
        <v>43605</v>
      </c>
      <c r="L2295" s="10">
        <v>0.4465277777777778</v>
      </c>
      <c r="M2295" t="s">
        <v>88</v>
      </c>
      <c r="N2295" t="s">
        <v>3440</v>
      </c>
      <c r="O2295" t="s">
        <v>22</v>
      </c>
    </row>
    <row r="2296" spans="1:15" hidden="1">
      <c r="A2296" t="s">
        <v>15</v>
      </c>
      <c r="B2296" t="str">
        <f>"FES1162690461"</f>
        <v>FES1162690461</v>
      </c>
      <c r="C2296" s="9">
        <v>43602</v>
      </c>
      <c r="D2296">
        <v>1</v>
      </c>
      <c r="E2296">
        <v>2170688930</v>
      </c>
      <c r="F2296" t="s">
        <v>16</v>
      </c>
      <c r="G2296" t="s">
        <v>17</v>
      </c>
      <c r="H2296" t="s">
        <v>43</v>
      </c>
      <c r="I2296" t="s">
        <v>44</v>
      </c>
      <c r="J2296" t="s">
        <v>938</v>
      </c>
      <c r="K2296" s="9">
        <v>43605</v>
      </c>
      <c r="L2296" s="10">
        <v>0.33888888888888885</v>
      </c>
      <c r="M2296" t="s">
        <v>3441</v>
      </c>
      <c r="N2296" t="s">
        <v>3442</v>
      </c>
      <c r="O2296" t="s">
        <v>22</v>
      </c>
    </row>
    <row r="2297" spans="1:15" hidden="1">
      <c r="A2297" t="s">
        <v>15</v>
      </c>
      <c r="B2297" t="str">
        <f>"FES1162690412"</f>
        <v>FES1162690412</v>
      </c>
      <c r="C2297" s="9">
        <v>43602</v>
      </c>
      <c r="D2297">
        <v>1</v>
      </c>
      <c r="E2297">
        <v>2170688852</v>
      </c>
      <c r="F2297" t="s">
        <v>16</v>
      </c>
      <c r="G2297" t="s">
        <v>17</v>
      </c>
      <c r="H2297" t="s">
        <v>43</v>
      </c>
      <c r="I2297" t="s">
        <v>44</v>
      </c>
      <c r="J2297" t="s">
        <v>1829</v>
      </c>
      <c r="K2297" s="9">
        <v>43606</v>
      </c>
      <c r="L2297" s="10">
        <v>0.4375</v>
      </c>
      <c r="M2297" t="s">
        <v>3443</v>
      </c>
      <c r="N2297" t="s">
        <v>3444</v>
      </c>
      <c r="O2297" t="s">
        <v>22</v>
      </c>
    </row>
    <row r="2298" spans="1:15" hidden="1">
      <c r="A2298" t="s">
        <v>15</v>
      </c>
      <c r="B2298" t="str">
        <f>"FES1162690395"</f>
        <v>FES1162690395</v>
      </c>
      <c r="C2298" s="9">
        <v>43602</v>
      </c>
      <c r="D2298">
        <v>1</v>
      </c>
      <c r="E2298">
        <v>2170688280</v>
      </c>
      <c r="F2298" t="s">
        <v>16</v>
      </c>
      <c r="G2298" t="s">
        <v>17</v>
      </c>
      <c r="H2298" t="s">
        <v>132</v>
      </c>
      <c r="I2298" t="s">
        <v>137</v>
      </c>
      <c r="J2298" t="s">
        <v>138</v>
      </c>
      <c r="K2298" s="9">
        <v>43605</v>
      </c>
      <c r="L2298" s="10">
        <v>0.4375</v>
      </c>
      <c r="M2298" t="s">
        <v>3445</v>
      </c>
      <c r="N2298" t="s">
        <v>3446</v>
      </c>
      <c r="O2298" t="s">
        <v>22</v>
      </c>
    </row>
    <row r="2299" spans="1:15" hidden="1">
      <c r="A2299" t="s">
        <v>15</v>
      </c>
      <c r="B2299" t="str">
        <f>"FES1162690413"</f>
        <v>FES1162690413</v>
      </c>
      <c r="C2299" s="9">
        <v>43602</v>
      </c>
      <c r="D2299">
        <v>1</v>
      </c>
      <c r="E2299">
        <v>21706888855</v>
      </c>
      <c r="F2299" t="s">
        <v>16</v>
      </c>
      <c r="G2299" t="s">
        <v>17</v>
      </c>
      <c r="H2299" t="s">
        <v>43</v>
      </c>
      <c r="I2299" t="s">
        <v>44</v>
      </c>
      <c r="J2299" t="s">
        <v>742</v>
      </c>
      <c r="K2299" s="9">
        <v>43605</v>
      </c>
      <c r="L2299" s="10">
        <v>0.51736111111111105</v>
      </c>
      <c r="M2299" t="s">
        <v>743</v>
      </c>
      <c r="N2299" t="s">
        <v>3447</v>
      </c>
      <c r="O2299" t="s">
        <v>22</v>
      </c>
    </row>
    <row r="2300" spans="1:15" hidden="1">
      <c r="A2300" t="s">
        <v>15</v>
      </c>
      <c r="B2300" t="str">
        <f>"FES1162690402"</f>
        <v>FES1162690402</v>
      </c>
      <c r="C2300" s="9">
        <v>43602</v>
      </c>
      <c r="D2300">
        <v>1</v>
      </c>
      <c r="E2300">
        <v>21706888816</v>
      </c>
      <c r="F2300" t="s">
        <v>16</v>
      </c>
      <c r="G2300" t="s">
        <v>17</v>
      </c>
      <c r="H2300" t="s">
        <v>43</v>
      </c>
      <c r="I2300" t="s">
        <v>75</v>
      </c>
      <c r="J2300" t="s">
        <v>222</v>
      </c>
      <c r="K2300" s="9">
        <v>43605</v>
      </c>
      <c r="L2300" s="10">
        <v>0.4465277777777778</v>
      </c>
      <c r="M2300" t="s">
        <v>88</v>
      </c>
      <c r="N2300" t="s">
        <v>3448</v>
      </c>
      <c r="O2300" t="s">
        <v>22</v>
      </c>
    </row>
    <row r="2301" spans="1:15" hidden="1">
      <c r="A2301" t="s">
        <v>15</v>
      </c>
      <c r="B2301" t="str">
        <f>"FES1162690438"</f>
        <v>FES1162690438</v>
      </c>
      <c r="C2301" s="9">
        <v>43602</v>
      </c>
      <c r="D2301">
        <v>1</v>
      </c>
      <c r="E2301">
        <v>2170688900</v>
      </c>
      <c r="F2301" t="s">
        <v>16</v>
      </c>
      <c r="G2301" t="s">
        <v>17</v>
      </c>
      <c r="H2301" t="s">
        <v>290</v>
      </c>
      <c r="I2301" t="s">
        <v>291</v>
      </c>
      <c r="J2301" t="s">
        <v>297</v>
      </c>
      <c r="K2301" s="9">
        <v>43605</v>
      </c>
      <c r="L2301" s="10">
        <v>0.34930555555555554</v>
      </c>
      <c r="M2301" t="s">
        <v>298</v>
      </c>
      <c r="N2301" t="s">
        <v>3449</v>
      </c>
      <c r="O2301" t="s">
        <v>22</v>
      </c>
    </row>
    <row r="2302" spans="1:15" hidden="1">
      <c r="A2302" t="s">
        <v>15</v>
      </c>
      <c r="B2302" t="str">
        <f>"FES1162690487"</f>
        <v>FES1162690487</v>
      </c>
      <c r="C2302" s="9">
        <v>43602</v>
      </c>
      <c r="D2302">
        <v>1</v>
      </c>
      <c r="E2302">
        <v>2170687341</v>
      </c>
      <c r="F2302" t="s">
        <v>16</v>
      </c>
      <c r="G2302" t="s">
        <v>17</v>
      </c>
      <c r="H2302" t="s">
        <v>141</v>
      </c>
      <c r="I2302" t="s">
        <v>142</v>
      </c>
      <c r="J2302" t="s">
        <v>864</v>
      </c>
      <c r="K2302" s="9">
        <v>43605</v>
      </c>
      <c r="L2302" s="10">
        <v>0.33680555555555558</v>
      </c>
      <c r="M2302" t="s">
        <v>3450</v>
      </c>
      <c r="N2302" t="s">
        <v>3451</v>
      </c>
      <c r="O2302" t="s">
        <v>22</v>
      </c>
    </row>
    <row r="2303" spans="1:15" hidden="1">
      <c r="A2303" t="s">
        <v>15</v>
      </c>
      <c r="B2303" t="str">
        <f>"FES1162690411"</f>
        <v>FES1162690411</v>
      </c>
      <c r="C2303" s="9">
        <v>43602</v>
      </c>
      <c r="D2303">
        <v>1</v>
      </c>
      <c r="E2303">
        <v>2170688851</v>
      </c>
      <c r="F2303" t="s">
        <v>16</v>
      </c>
      <c r="G2303" t="s">
        <v>17</v>
      </c>
      <c r="H2303" t="s">
        <v>43</v>
      </c>
      <c r="I2303" t="s">
        <v>44</v>
      </c>
      <c r="J2303" t="s">
        <v>336</v>
      </c>
      <c r="K2303" s="9">
        <v>43605</v>
      </c>
      <c r="L2303" s="10">
        <v>0.3659722222222222</v>
      </c>
      <c r="M2303" t="s">
        <v>2540</v>
      </c>
      <c r="N2303" t="s">
        <v>3452</v>
      </c>
      <c r="O2303" t="s">
        <v>22</v>
      </c>
    </row>
    <row r="2304" spans="1:15" hidden="1">
      <c r="A2304" t="s">
        <v>15</v>
      </c>
      <c r="B2304" t="str">
        <f>"FES1162690391"</f>
        <v>FES1162690391</v>
      </c>
      <c r="C2304" s="9">
        <v>43602</v>
      </c>
      <c r="D2304">
        <v>1</v>
      </c>
      <c r="E2304">
        <v>2170685404</v>
      </c>
      <c r="F2304" t="s">
        <v>16</v>
      </c>
      <c r="G2304" t="s">
        <v>17</v>
      </c>
      <c r="H2304" t="s">
        <v>43</v>
      </c>
      <c r="I2304" t="s">
        <v>44</v>
      </c>
      <c r="J2304" t="s">
        <v>1074</v>
      </c>
      <c r="K2304" s="9">
        <v>43605</v>
      </c>
      <c r="L2304" s="10">
        <v>0.41666666666666669</v>
      </c>
      <c r="M2304" t="s">
        <v>3453</v>
      </c>
      <c r="N2304" t="s">
        <v>3454</v>
      </c>
      <c r="O2304" t="s">
        <v>22</v>
      </c>
    </row>
    <row r="2305" spans="1:15" hidden="1">
      <c r="A2305" t="s">
        <v>15</v>
      </c>
      <c r="B2305" t="str">
        <f>"FES1162690477"</f>
        <v>FES1162690477</v>
      </c>
      <c r="C2305" s="9">
        <v>43602</v>
      </c>
      <c r="D2305">
        <v>1</v>
      </c>
      <c r="E2305">
        <v>21706588953</v>
      </c>
      <c r="F2305" t="s">
        <v>16</v>
      </c>
      <c r="G2305" t="s">
        <v>17</v>
      </c>
      <c r="H2305" t="s">
        <v>43</v>
      </c>
      <c r="I2305" t="s">
        <v>44</v>
      </c>
      <c r="J2305" t="s">
        <v>3455</v>
      </c>
      <c r="K2305" s="9">
        <v>43605</v>
      </c>
      <c r="L2305" s="10">
        <v>0.42430555555555555</v>
      </c>
      <c r="M2305" t="s">
        <v>1169</v>
      </c>
      <c r="N2305" t="s">
        <v>3456</v>
      </c>
      <c r="O2305" t="s">
        <v>22</v>
      </c>
    </row>
    <row r="2306" spans="1:15" hidden="1">
      <c r="A2306" t="s">
        <v>15</v>
      </c>
      <c r="B2306" t="str">
        <f>"FES1162690407"</f>
        <v>FES1162690407</v>
      </c>
      <c r="C2306" s="9">
        <v>43602</v>
      </c>
      <c r="D2306">
        <v>1</v>
      </c>
      <c r="E2306">
        <v>2170688842</v>
      </c>
      <c r="F2306" t="s">
        <v>16</v>
      </c>
      <c r="G2306" t="s">
        <v>17</v>
      </c>
      <c r="H2306" t="s">
        <v>141</v>
      </c>
      <c r="I2306" t="s">
        <v>142</v>
      </c>
      <c r="J2306" t="s">
        <v>976</v>
      </c>
      <c r="K2306" s="9">
        <v>43605</v>
      </c>
      <c r="L2306" s="10">
        <v>0.36527777777777781</v>
      </c>
      <c r="M2306" t="s">
        <v>3457</v>
      </c>
      <c r="N2306" t="s">
        <v>3458</v>
      </c>
      <c r="O2306" t="s">
        <v>22</v>
      </c>
    </row>
    <row r="2307" spans="1:15" hidden="1">
      <c r="A2307" t="s">
        <v>15</v>
      </c>
      <c r="B2307" t="str">
        <f>"FES1162690417"</f>
        <v>FES1162690417</v>
      </c>
      <c r="C2307" s="9">
        <v>43602</v>
      </c>
      <c r="D2307">
        <v>1</v>
      </c>
      <c r="E2307">
        <v>2170688867</v>
      </c>
      <c r="F2307" t="s">
        <v>16</v>
      </c>
      <c r="G2307" t="s">
        <v>17</v>
      </c>
      <c r="H2307" t="s">
        <v>132</v>
      </c>
      <c r="I2307" t="s">
        <v>133</v>
      </c>
      <c r="J2307" t="s">
        <v>3459</v>
      </c>
      <c r="K2307" s="9">
        <v>43605</v>
      </c>
      <c r="L2307" s="10">
        <v>0.33333333333333331</v>
      </c>
      <c r="M2307" t="s">
        <v>3460</v>
      </c>
      <c r="N2307" t="s">
        <v>3461</v>
      </c>
      <c r="O2307" t="s">
        <v>22</v>
      </c>
    </row>
    <row r="2308" spans="1:15" hidden="1">
      <c r="A2308" t="s">
        <v>15</v>
      </c>
      <c r="B2308" t="str">
        <f>"FES1162690421"</f>
        <v>FES1162690421</v>
      </c>
      <c r="C2308" s="9">
        <v>43602</v>
      </c>
      <c r="D2308">
        <v>1</v>
      </c>
      <c r="E2308">
        <v>2170688872</v>
      </c>
      <c r="F2308" t="s">
        <v>16</v>
      </c>
      <c r="G2308" t="s">
        <v>17</v>
      </c>
      <c r="H2308" t="s">
        <v>141</v>
      </c>
      <c r="I2308" t="s">
        <v>142</v>
      </c>
      <c r="J2308" t="s">
        <v>198</v>
      </c>
      <c r="K2308" s="9">
        <v>43605</v>
      </c>
      <c r="L2308" s="10">
        <v>0.39305555555555555</v>
      </c>
      <c r="M2308" t="s">
        <v>3462</v>
      </c>
      <c r="N2308" t="s">
        <v>3463</v>
      </c>
      <c r="O2308" t="s">
        <v>22</v>
      </c>
    </row>
    <row r="2309" spans="1:15" hidden="1">
      <c r="A2309" t="s">
        <v>15</v>
      </c>
      <c r="B2309" t="str">
        <f>"FES1162690447"</f>
        <v>FES1162690447</v>
      </c>
      <c r="C2309" s="9">
        <v>43602</v>
      </c>
      <c r="D2309">
        <v>1</v>
      </c>
      <c r="E2309">
        <v>2170688912</v>
      </c>
      <c r="F2309" t="s">
        <v>16</v>
      </c>
      <c r="G2309" t="s">
        <v>17</v>
      </c>
      <c r="H2309" t="s">
        <v>322</v>
      </c>
      <c r="I2309" t="s">
        <v>618</v>
      </c>
      <c r="J2309" t="s">
        <v>619</v>
      </c>
      <c r="K2309" s="9">
        <v>43605</v>
      </c>
      <c r="L2309" s="10">
        <v>0.44444444444444442</v>
      </c>
      <c r="M2309" t="s">
        <v>620</v>
      </c>
      <c r="N2309" t="s">
        <v>3464</v>
      </c>
      <c r="O2309" t="s">
        <v>22</v>
      </c>
    </row>
    <row r="2310" spans="1:15" hidden="1">
      <c r="A2310" t="s">
        <v>15</v>
      </c>
      <c r="B2310" t="str">
        <f>"FES1162690453"</f>
        <v>FES1162690453</v>
      </c>
      <c r="C2310" s="9">
        <v>43602</v>
      </c>
      <c r="D2310">
        <v>1</v>
      </c>
      <c r="E2310">
        <v>2170688916</v>
      </c>
      <c r="F2310" t="s">
        <v>16</v>
      </c>
      <c r="G2310" t="s">
        <v>17</v>
      </c>
      <c r="H2310" t="s">
        <v>132</v>
      </c>
      <c r="I2310" t="s">
        <v>133</v>
      </c>
      <c r="J2310" t="s">
        <v>189</v>
      </c>
      <c r="K2310" s="9">
        <v>43605</v>
      </c>
      <c r="L2310" s="10">
        <v>0.4375</v>
      </c>
      <c r="M2310" t="s">
        <v>585</v>
      </c>
      <c r="N2310" t="s">
        <v>3465</v>
      </c>
      <c r="O2310" t="s">
        <v>22</v>
      </c>
    </row>
    <row r="2311" spans="1:15" hidden="1">
      <c r="A2311" t="s">
        <v>15</v>
      </c>
      <c r="B2311" t="str">
        <f>"FES1162690397"</f>
        <v>FES1162690397</v>
      </c>
      <c r="C2311" s="9">
        <v>43602</v>
      </c>
      <c r="D2311">
        <v>1</v>
      </c>
      <c r="E2311">
        <v>2170688519</v>
      </c>
      <c r="F2311" t="s">
        <v>16</v>
      </c>
      <c r="G2311" t="s">
        <v>17</v>
      </c>
      <c r="H2311" t="s">
        <v>141</v>
      </c>
      <c r="I2311" t="s">
        <v>185</v>
      </c>
      <c r="J2311" t="s">
        <v>210</v>
      </c>
      <c r="K2311" s="9">
        <v>43605</v>
      </c>
      <c r="L2311" s="10">
        <v>0.37152777777777773</v>
      </c>
      <c r="M2311" t="s">
        <v>3466</v>
      </c>
      <c r="N2311" t="s">
        <v>3467</v>
      </c>
      <c r="O2311" t="s">
        <v>22</v>
      </c>
    </row>
    <row r="2312" spans="1:15" hidden="1">
      <c r="A2312" s="6" t="s">
        <v>15</v>
      </c>
      <c r="B2312" s="6" t="str">
        <f>"FES1162690452"</f>
        <v>FES1162690452</v>
      </c>
      <c r="C2312" s="7">
        <v>43602</v>
      </c>
      <c r="D2312" s="6">
        <v>1</v>
      </c>
      <c r="E2312" s="6">
        <v>2170688915</v>
      </c>
      <c r="F2312" s="6" t="s">
        <v>16</v>
      </c>
      <c r="G2312" s="6" t="s">
        <v>17</v>
      </c>
      <c r="H2312" s="6" t="s">
        <v>141</v>
      </c>
      <c r="I2312" s="6" t="s">
        <v>142</v>
      </c>
      <c r="J2312" s="6" t="s">
        <v>228</v>
      </c>
      <c r="K2312" s="7">
        <v>43605</v>
      </c>
      <c r="L2312" s="8">
        <v>0.39374999999999999</v>
      </c>
      <c r="M2312" s="6" t="s">
        <v>229</v>
      </c>
      <c r="N2312" s="6" t="s">
        <v>21</v>
      </c>
      <c r="O2312" s="6" t="s">
        <v>22</v>
      </c>
    </row>
    <row r="2313" spans="1:15">
      <c r="A2313" s="14" t="s">
        <v>15</v>
      </c>
      <c r="B2313" s="14" t="str">
        <f>"FES1162690418"</f>
        <v>FES1162690418</v>
      </c>
      <c r="C2313" s="15">
        <v>43602</v>
      </c>
      <c r="D2313" s="14">
        <v>1</v>
      </c>
      <c r="E2313" s="14">
        <v>21706888869</v>
      </c>
      <c r="F2313" s="14" t="s">
        <v>16</v>
      </c>
      <c r="G2313" s="14" t="s">
        <v>17</v>
      </c>
      <c r="H2313" s="14" t="s">
        <v>17</v>
      </c>
      <c r="I2313" s="14" t="s">
        <v>29</v>
      </c>
      <c r="J2313" s="14" t="s">
        <v>1080</v>
      </c>
      <c r="K2313" s="15">
        <v>43605</v>
      </c>
      <c r="L2313" s="16">
        <v>0.33333333333333331</v>
      </c>
      <c r="M2313" s="14" t="s">
        <v>100</v>
      </c>
      <c r="N2313" s="14" t="s">
        <v>21</v>
      </c>
      <c r="O2313" s="14" t="s">
        <v>22</v>
      </c>
    </row>
    <row r="2314" spans="1:15">
      <c r="A2314" s="6" t="s">
        <v>15</v>
      </c>
      <c r="B2314" s="6" t="str">
        <f>"FES1162690396"</f>
        <v>FES1162690396</v>
      </c>
      <c r="C2314" s="7">
        <v>43602</v>
      </c>
      <c r="D2314" s="6">
        <v>1</v>
      </c>
      <c r="E2314" s="6">
        <v>217688507</v>
      </c>
      <c r="F2314" s="6" t="s">
        <v>16</v>
      </c>
      <c r="G2314" s="6" t="s">
        <v>17</v>
      </c>
      <c r="H2314" s="6" t="s">
        <v>17</v>
      </c>
      <c r="I2314" s="6" t="s">
        <v>1376</v>
      </c>
      <c r="J2314" s="6" t="s">
        <v>3468</v>
      </c>
      <c r="K2314" s="7">
        <v>43605</v>
      </c>
      <c r="L2314" s="8">
        <v>0.50902777777777775</v>
      </c>
      <c r="M2314" s="6" t="s">
        <v>3469</v>
      </c>
      <c r="N2314" s="6" t="s">
        <v>21</v>
      </c>
      <c r="O2314" s="6" t="s">
        <v>22</v>
      </c>
    </row>
    <row r="2315" spans="1:15" hidden="1">
      <c r="A2315" s="3" t="s">
        <v>15</v>
      </c>
      <c r="B2315" s="3" t="str">
        <f>"FES1162690425"</f>
        <v>FES1162690425</v>
      </c>
      <c r="C2315" s="4">
        <v>43602</v>
      </c>
      <c r="D2315" s="3">
        <v>1</v>
      </c>
      <c r="E2315" s="3">
        <v>2170688876</v>
      </c>
      <c r="F2315" s="3" t="s">
        <v>16</v>
      </c>
      <c r="G2315" s="3" t="s">
        <v>17</v>
      </c>
      <c r="H2315" s="3" t="s">
        <v>32</v>
      </c>
      <c r="I2315" s="3" t="s">
        <v>33</v>
      </c>
      <c r="J2315" s="3" t="s">
        <v>778</v>
      </c>
      <c r="K2315" s="4">
        <v>43605</v>
      </c>
      <c r="L2315" s="5">
        <v>0.39583333333333331</v>
      </c>
      <c r="M2315" s="3" t="s">
        <v>3308</v>
      </c>
      <c r="N2315" s="3" t="s">
        <v>21</v>
      </c>
      <c r="O2315" s="3" t="s">
        <v>22</v>
      </c>
    </row>
    <row r="2316" spans="1:15">
      <c r="A2316" s="6" t="s">
        <v>15</v>
      </c>
      <c r="B2316" s="6" t="str">
        <f>"FES1162690437"</f>
        <v>FES1162690437</v>
      </c>
      <c r="C2316" s="7">
        <v>43602</v>
      </c>
      <c r="D2316" s="6">
        <v>1</v>
      </c>
      <c r="E2316" s="6">
        <v>21706888895</v>
      </c>
      <c r="F2316" s="6" t="s">
        <v>16</v>
      </c>
      <c r="G2316" s="6" t="s">
        <v>17</v>
      </c>
      <c r="H2316" s="6" t="s">
        <v>17</v>
      </c>
      <c r="I2316" s="6" t="s">
        <v>67</v>
      </c>
      <c r="J2316" s="6" t="s">
        <v>1455</v>
      </c>
      <c r="K2316" s="7">
        <v>43605</v>
      </c>
      <c r="L2316" s="8">
        <v>0.43055555555555558</v>
      </c>
      <c r="M2316" s="6" t="s">
        <v>3470</v>
      </c>
      <c r="N2316" s="6" t="s">
        <v>21</v>
      </c>
      <c r="O2316" s="6" t="s">
        <v>22</v>
      </c>
    </row>
    <row r="2317" spans="1:15">
      <c r="A2317" s="14" t="s">
        <v>15</v>
      </c>
      <c r="B2317" s="14" t="str">
        <f>"FES1162690403"</f>
        <v>FES1162690403</v>
      </c>
      <c r="C2317" s="15">
        <v>43602</v>
      </c>
      <c r="D2317" s="14">
        <v>1</v>
      </c>
      <c r="E2317" s="14">
        <v>2170688835</v>
      </c>
      <c r="F2317" s="14" t="s">
        <v>16</v>
      </c>
      <c r="G2317" s="14" t="s">
        <v>17</v>
      </c>
      <c r="H2317" s="14" t="s">
        <v>17</v>
      </c>
      <c r="I2317" s="14" t="s">
        <v>64</v>
      </c>
      <c r="J2317" s="14" t="s">
        <v>3471</v>
      </c>
      <c r="K2317" s="15">
        <v>43605</v>
      </c>
      <c r="L2317" s="16">
        <v>0.43055555555555558</v>
      </c>
      <c r="M2317" s="14" t="s">
        <v>3472</v>
      </c>
      <c r="N2317" s="14" t="s">
        <v>21</v>
      </c>
      <c r="O2317" s="14" t="s">
        <v>22</v>
      </c>
    </row>
    <row r="2318" spans="1:15">
      <c r="A2318" s="17" t="s">
        <v>15</v>
      </c>
      <c r="B2318" s="17" t="str">
        <f>"FES1162690406"</f>
        <v>FES1162690406</v>
      </c>
      <c r="C2318" s="18">
        <v>43602</v>
      </c>
      <c r="D2318" s="17">
        <v>1</v>
      </c>
      <c r="E2318" s="17">
        <v>2170688841</v>
      </c>
      <c r="F2318" s="17" t="s">
        <v>16</v>
      </c>
      <c r="G2318" s="17" t="s">
        <v>17</v>
      </c>
      <c r="H2318" s="17" t="s">
        <v>17</v>
      </c>
      <c r="I2318" s="17" t="s">
        <v>81</v>
      </c>
      <c r="J2318" s="17" t="s">
        <v>2048</v>
      </c>
      <c r="K2318" s="24">
        <v>43605</v>
      </c>
      <c r="L2318" s="25">
        <v>0.43055555555555558</v>
      </c>
      <c r="M2318" s="26" t="s">
        <v>3472</v>
      </c>
      <c r="N2318" s="26" t="s">
        <v>21</v>
      </c>
      <c r="O2318" s="17" t="s">
        <v>3473</v>
      </c>
    </row>
    <row r="2319" spans="1:15" hidden="1">
      <c r="A2319" s="20" t="s">
        <v>15</v>
      </c>
      <c r="B2319" s="20" t="str">
        <f>"FES1162690445"</f>
        <v>FES1162690445</v>
      </c>
      <c r="C2319" s="21">
        <v>43602</v>
      </c>
      <c r="D2319" s="20">
        <v>1</v>
      </c>
      <c r="E2319" s="20">
        <v>2170688906</v>
      </c>
      <c r="F2319" s="20" t="s">
        <v>16</v>
      </c>
      <c r="G2319" s="20" t="s">
        <v>17</v>
      </c>
      <c r="H2319" s="20" t="s">
        <v>290</v>
      </c>
      <c r="I2319" s="20" t="s">
        <v>316</v>
      </c>
      <c r="J2319" s="20" t="s">
        <v>317</v>
      </c>
      <c r="K2319" s="21">
        <v>43605</v>
      </c>
      <c r="L2319" s="22">
        <v>0.41666666666666669</v>
      </c>
      <c r="M2319" s="20" t="s">
        <v>3282</v>
      </c>
      <c r="N2319" s="20" t="s">
        <v>21</v>
      </c>
      <c r="O2319" s="20" t="s">
        <v>22</v>
      </c>
    </row>
    <row r="2320" spans="1:15">
      <c r="A2320" s="6" t="s">
        <v>15</v>
      </c>
      <c r="B2320" s="6" t="str">
        <f>"FES1162690435"</f>
        <v>FES1162690435</v>
      </c>
      <c r="C2320" s="7">
        <v>43602</v>
      </c>
      <c r="D2320" s="6">
        <v>1</v>
      </c>
      <c r="E2320" s="6">
        <v>21706888893</v>
      </c>
      <c r="F2320" s="6" t="s">
        <v>16</v>
      </c>
      <c r="G2320" s="6" t="s">
        <v>17</v>
      </c>
      <c r="H2320" s="6" t="s">
        <v>17</v>
      </c>
      <c r="I2320" s="6" t="s">
        <v>29</v>
      </c>
      <c r="J2320" s="6" t="s">
        <v>616</v>
      </c>
      <c r="K2320" s="7">
        <v>43605</v>
      </c>
      <c r="L2320" s="8">
        <v>0.38541666666666669</v>
      </c>
      <c r="M2320" s="6" t="s">
        <v>734</v>
      </c>
      <c r="N2320" s="6" t="s">
        <v>21</v>
      </c>
      <c r="O2320" s="6" t="s">
        <v>22</v>
      </c>
    </row>
    <row r="2321" spans="1:15" hidden="1">
      <c r="A2321" s="3" t="s">
        <v>15</v>
      </c>
      <c r="B2321" s="3" t="str">
        <f>"FES1162690474"</f>
        <v>FES1162690474</v>
      </c>
      <c r="C2321" s="4">
        <v>43602</v>
      </c>
      <c r="D2321" s="3">
        <v>1</v>
      </c>
      <c r="E2321" s="3">
        <v>2170688944</v>
      </c>
      <c r="F2321" s="3" t="s">
        <v>16</v>
      </c>
      <c r="G2321" s="3" t="s">
        <v>17</v>
      </c>
      <c r="H2321" s="3" t="s">
        <v>290</v>
      </c>
      <c r="I2321" s="3" t="s">
        <v>291</v>
      </c>
      <c r="J2321" s="3" t="s">
        <v>3474</v>
      </c>
      <c r="K2321" s="4">
        <v>43607</v>
      </c>
      <c r="L2321" s="5">
        <v>0.65277777777777779</v>
      </c>
      <c r="M2321" s="3" t="s">
        <v>3475</v>
      </c>
      <c r="N2321" s="3" t="s">
        <v>21</v>
      </c>
      <c r="O2321" s="3" t="s">
        <v>22</v>
      </c>
    </row>
    <row r="2322" spans="1:15">
      <c r="A2322" s="6" t="s">
        <v>15</v>
      </c>
      <c r="B2322" s="6" t="str">
        <f>"FES1162690394"</f>
        <v>FES1162690394</v>
      </c>
      <c r="C2322" s="7">
        <v>43602</v>
      </c>
      <c r="D2322" s="6">
        <v>1</v>
      </c>
      <c r="E2322" s="6">
        <v>21706588135</v>
      </c>
      <c r="F2322" s="6" t="s">
        <v>16</v>
      </c>
      <c r="G2322" s="6" t="s">
        <v>17</v>
      </c>
      <c r="H2322" s="6" t="s">
        <v>17</v>
      </c>
      <c r="I2322" s="6" t="s">
        <v>610</v>
      </c>
      <c r="J2322" s="6" t="s">
        <v>2681</v>
      </c>
      <c r="K2322" s="7">
        <v>43605</v>
      </c>
      <c r="L2322" s="8">
        <v>0.31736111111111115</v>
      </c>
      <c r="M2322" s="6" t="s">
        <v>3476</v>
      </c>
      <c r="N2322" s="6" t="s">
        <v>21</v>
      </c>
      <c r="O2322" s="6" t="s">
        <v>22</v>
      </c>
    </row>
    <row r="2323" spans="1:15">
      <c r="A2323" s="6" t="s">
        <v>15</v>
      </c>
      <c r="B2323" s="6" t="str">
        <f>"FES1162690374"</f>
        <v>FES1162690374</v>
      </c>
      <c r="C2323" s="7">
        <v>43602</v>
      </c>
      <c r="D2323" s="6">
        <v>1</v>
      </c>
      <c r="E2323" s="6">
        <v>2170688815</v>
      </c>
      <c r="F2323" s="6" t="s">
        <v>16</v>
      </c>
      <c r="G2323" s="6" t="s">
        <v>17</v>
      </c>
      <c r="H2323" s="6" t="s">
        <v>17</v>
      </c>
      <c r="I2323" s="6" t="s">
        <v>23</v>
      </c>
      <c r="J2323" s="6" t="s">
        <v>146</v>
      </c>
      <c r="K2323" s="7">
        <v>43605</v>
      </c>
      <c r="L2323" s="8">
        <v>0.32361111111111113</v>
      </c>
      <c r="M2323" s="6" t="s">
        <v>3477</v>
      </c>
      <c r="N2323" s="6" t="s">
        <v>21</v>
      </c>
      <c r="O2323" s="6" t="s">
        <v>22</v>
      </c>
    </row>
    <row r="2324" spans="1:15">
      <c r="A2324" s="14" t="s">
        <v>15</v>
      </c>
      <c r="B2324" s="14" t="str">
        <f>"FES1162690419"</f>
        <v>FES1162690419</v>
      </c>
      <c r="C2324" s="15">
        <v>43602</v>
      </c>
      <c r="D2324" s="14">
        <v>1</v>
      </c>
      <c r="E2324" s="14">
        <v>217068887</v>
      </c>
      <c r="F2324" s="14" t="s">
        <v>16</v>
      </c>
      <c r="G2324" s="14" t="s">
        <v>17</v>
      </c>
      <c r="H2324" s="14" t="s">
        <v>17</v>
      </c>
      <c r="I2324" s="14" t="s">
        <v>18</v>
      </c>
      <c r="J2324" s="14" t="s">
        <v>160</v>
      </c>
      <c r="K2324" s="15">
        <v>43605</v>
      </c>
      <c r="L2324" s="16">
        <v>0.43055555555555558</v>
      </c>
      <c r="M2324" s="14" t="s">
        <v>3478</v>
      </c>
      <c r="N2324" s="14" t="s">
        <v>21</v>
      </c>
      <c r="O2324" s="14" t="s">
        <v>22</v>
      </c>
    </row>
    <row r="2325" spans="1:15">
      <c r="A2325" s="6" t="s">
        <v>15</v>
      </c>
      <c r="B2325" s="6" t="str">
        <f>"FES1162690432"</f>
        <v>FES1162690432</v>
      </c>
      <c r="C2325" s="7">
        <v>43602</v>
      </c>
      <c r="D2325" s="6">
        <v>1</v>
      </c>
      <c r="E2325" s="6">
        <v>217068888887</v>
      </c>
      <c r="F2325" s="6" t="s">
        <v>16</v>
      </c>
      <c r="G2325" s="6" t="s">
        <v>17</v>
      </c>
      <c r="H2325" s="6" t="s">
        <v>17</v>
      </c>
      <c r="I2325" s="6" t="s">
        <v>18</v>
      </c>
      <c r="J2325" s="6" t="s">
        <v>569</v>
      </c>
      <c r="K2325" s="7">
        <v>43605</v>
      </c>
      <c r="L2325" s="8">
        <v>0.4069444444444445</v>
      </c>
      <c r="M2325" s="6" t="s">
        <v>570</v>
      </c>
      <c r="N2325" s="6" t="s">
        <v>21</v>
      </c>
      <c r="O2325" s="6" t="s">
        <v>22</v>
      </c>
    </row>
    <row r="2326" spans="1:15" hidden="1">
      <c r="A2326" t="s">
        <v>15</v>
      </c>
      <c r="B2326" t="str">
        <f>"FES1162690392"</f>
        <v>FES1162690392</v>
      </c>
      <c r="C2326" s="9">
        <v>43602</v>
      </c>
      <c r="D2326">
        <v>1</v>
      </c>
      <c r="E2326">
        <v>21706869888</v>
      </c>
      <c r="F2326" t="s">
        <v>16</v>
      </c>
      <c r="G2326" t="s">
        <v>17</v>
      </c>
      <c r="H2326" t="s">
        <v>32</v>
      </c>
      <c r="I2326" t="s">
        <v>33</v>
      </c>
      <c r="J2326" t="s">
        <v>34</v>
      </c>
      <c r="K2326" s="9">
        <v>43605</v>
      </c>
      <c r="L2326" s="10">
        <v>0.3298611111111111</v>
      </c>
      <c r="M2326" t="s">
        <v>35</v>
      </c>
      <c r="N2326" t="s">
        <v>3479</v>
      </c>
      <c r="O2326" t="s">
        <v>22</v>
      </c>
    </row>
    <row r="2327" spans="1:15" hidden="1">
      <c r="A2327" s="6" t="s">
        <v>15</v>
      </c>
      <c r="B2327" s="6" t="str">
        <f>"FES1162690457"</f>
        <v>FES1162690457</v>
      </c>
      <c r="C2327" s="7">
        <v>43602</v>
      </c>
      <c r="D2327" s="6">
        <v>1</v>
      </c>
      <c r="E2327" s="6">
        <v>2170688926</v>
      </c>
      <c r="F2327" s="6" t="s">
        <v>16</v>
      </c>
      <c r="G2327" s="6" t="s">
        <v>17</v>
      </c>
      <c r="H2327" s="6" t="s">
        <v>32</v>
      </c>
      <c r="I2327" s="6" t="s">
        <v>342</v>
      </c>
      <c r="J2327" s="6" t="s">
        <v>549</v>
      </c>
      <c r="K2327" s="7">
        <v>43605</v>
      </c>
      <c r="L2327" s="8">
        <v>0.40277777777777773</v>
      </c>
      <c r="M2327" s="6" t="s">
        <v>3480</v>
      </c>
      <c r="N2327" s="6" t="s">
        <v>21</v>
      </c>
      <c r="O2327" s="6" t="s">
        <v>22</v>
      </c>
    </row>
    <row r="2328" spans="1:15">
      <c r="A2328" s="14" t="s">
        <v>15</v>
      </c>
      <c r="B2328" s="14" t="str">
        <f>"009935723272"</f>
        <v>009935723272</v>
      </c>
      <c r="C2328" s="15">
        <v>43602</v>
      </c>
      <c r="D2328" s="14">
        <v>1</v>
      </c>
      <c r="E2328" s="14">
        <v>11626688390</v>
      </c>
      <c r="F2328" s="14" t="s">
        <v>16</v>
      </c>
      <c r="G2328" s="14" t="s">
        <v>17</v>
      </c>
      <c r="H2328" s="14" t="s">
        <v>17</v>
      </c>
      <c r="I2328" s="14" t="s">
        <v>29</v>
      </c>
      <c r="J2328" s="14" t="s">
        <v>30</v>
      </c>
      <c r="K2328" s="15">
        <v>43605</v>
      </c>
      <c r="L2328" s="16">
        <v>0.33333333333333331</v>
      </c>
      <c r="M2328" s="14" t="s">
        <v>31</v>
      </c>
      <c r="N2328" s="14" t="s">
        <v>21</v>
      </c>
      <c r="O2328" s="14" t="s">
        <v>22</v>
      </c>
    </row>
    <row r="2329" spans="1:15">
      <c r="A2329" s="6" t="s">
        <v>15</v>
      </c>
      <c r="B2329" s="6" t="str">
        <f>"FES1162690439"</f>
        <v>FES1162690439</v>
      </c>
      <c r="C2329" s="7">
        <v>43602</v>
      </c>
      <c r="D2329" s="6">
        <v>1</v>
      </c>
      <c r="E2329" s="6">
        <v>21706888897</v>
      </c>
      <c r="F2329" s="6" t="s">
        <v>16</v>
      </c>
      <c r="G2329" s="6" t="s">
        <v>17</v>
      </c>
      <c r="H2329" s="6" t="s">
        <v>17</v>
      </c>
      <c r="I2329" s="6" t="s">
        <v>23</v>
      </c>
      <c r="J2329" s="6" t="s">
        <v>483</v>
      </c>
      <c r="K2329" s="7">
        <v>43605</v>
      </c>
      <c r="L2329" s="8">
        <v>0.3263888888888889</v>
      </c>
      <c r="M2329" s="6" t="s">
        <v>1998</v>
      </c>
      <c r="N2329" s="6" t="s">
        <v>21</v>
      </c>
      <c r="O2329" s="6" t="s">
        <v>22</v>
      </c>
    </row>
    <row r="2330" spans="1:15" hidden="1">
      <c r="A2330" s="20" t="s">
        <v>15</v>
      </c>
      <c r="B2330" s="20" t="str">
        <f>"FES1162690401"</f>
        <v>FES1162690401</v>
      </c>
      <c r="C2330" s="21">
        <v>43602</v>
      </c>
      <c r="D2330" s="20">
        <v>1</v>
      </c>
      <c r="E2330" s="20">
        <v>2170688593</v>
      </c>
      <c r="F2330" s="20" t="s">
        <v>16</v>
      </c>
      <c r="G2330" s="20" t="s">
        <v>17</v>
      </c>
      <c r="H2330" s="20" t="s">
        <v>141</v>
      </c>
      <c r="I2330" s="20" t="s">
        <v>1921</v>
      </c>
      <c r="J2330" s="20" t="s">
        <v>1922</v>
      </c>
      <c r="K2330" s="21">
        <v>43605</v>
      </c>
      <c r="L2330" s="22">
        <v>0.36319444444444443</v>
      </c>
      <c r="M2330" s="20" t="s">
        <v>3481</v>
      </c>
      <c r="N2330" s="20" t="s">
        <v>21</v>
      </c>
      <c r="O2330" s="20" t="s">
        <v>22</v>
      </c>
    </row>
    <row r="2331" spans="1:15">
      <c r="A2331" s="6" t="s">
        <v>15</v>
      </c>
      <c r="B2331" s="6" t="str">
        <f>"FES1162690488"</f>
        <v>FES1162690488</v>
      </c>
      <c r="C2331" s="7">
        <v>43602</v>
      </c>
      <c r="D2331" s="6">
        <v>1</v>
      </c>
      <c r="E2331" s="6">
        <v>2170688963</v>
      </c>
      <c r="F2331" s="6" t="s">
        <v>16</v>
      </c>
      <c r="G2331" s="6" t="s">
        <v>17</v>
      </c>
      <c r="H2331" s="6" t="s">
        <v>17</v>
      </c>
      <c r="I2331" s="6" t="s">
        <v>64</v>
      </c>
      <c r="J2331" s="6" t="s">
        <v>3482</v>
      </c>
      <c r="K2331" s="7">
        <v>43605</v>
      </c>
      <c r="L2331" s="8">
        <v>0.33333333333333331</v>
      </c>
      <c r="M2331" s="6" t="s">
        <v>3460</v>
      </c>
      <c r="N2331" s="6" t="s">
        <v>21</v>
      </c>
      <c r="O2331" s="6" t="s">
        <v>22</v>
      </c>
    </row>
    <row r="2332" spans="1:15" hidden="1">
      <c r="A2332" t="s">
        <v>15</v>
      </c>
      <c r="B2332" t="str">
        <f>"FES1162690470"</f>
        <v>FES1162690470</v>
      </c>
      <c r="C2332" s="9">
        <v>43602</v>
      </c>
      <c r="D2332">
        <v>1</v>
      </c>
      <c r="E2332">
        <v>2170688939</v>
      </c>
      <c r="F2332" t="s">
        <v>16</v>
      </c>
      <c r="G2332" t="s">
        <v>17</v>
      </c>
      <c r="H2332" t="s">
        <v>141</v>
      </c>
      <c r="I2332" t="s">
        <v>142</v>
      </c>
      <c r="J2332" t="s">
        <v>143</v>
      </c>
      <c r="K2332" s="9">
        <v>43605</v>
      </c>
      <c r="L2332" s="10">
        <v>0.38611111111111113</v>
      </c>
      <c r="M2332" t="s">
        <v>3483</v>
      </c>
      <c r="N2332" t="s">
        <v>3484</v>
      </c>
      <c r="O2332" t="s">
        <v>22</v>
      </c>
    </row>
    <row r="2333" spans="1:15" hidden="1">
      <c r="A2333" t="s">
        <v>15</v>
      </c>
      <c r="B2333" t="str">
        <f>"FES1162690498"</f>
        <v>FES1162690498</v>
      </c>
      <c r="C2333" s="9">
        <v>43602</v>
      </c>
      <c r="D2333">
        <v>1</v>
      </c>
      <c r="E2333">
        <v>2170688976</v>
      </c>
      <c r="F2333" t="s">
        <v>16</v>
      </c>
      <c r="G2333" t="s">
        <v>17</v>
      </c>
      <c r="H2333" t="s">
        <v>141</v>
      </c>
      <c r="I2333" t="s">
        <v>185</v>
      </c>
      <c r="J2333" t="s">
        <v>1916</v>
      </c>
      <c r="K2333" s="9">
        <v>43605</v>
      </c>
      <c r="L2333" s="10">
        <v>0.38263888888888892</v>
      </c>
      <c r="M2333" t="s">
        <v>1917</v>
      </c>
      <c r="N2333" t="s">
        <v>3485</v>
      </c>
      <c r="O2333" t="s">
        <v>22</v>
      </c>
    </row>
    <row r="2334" spans="1:15" hidden="1">
      <c r="A2334" t="s">
        <v>15</v>
      </c>
      <c r="B2334" t="str">
        <f>"FES1162690480"</f>
        <v>FES1162690480</v>
      </c>
      <c r="C2334" s="9">
        <v>43602</v>
      </c>
      <c r="D2334">
        <v>1</v>
      </c>
      <c r="E2334">
        <v>2170688955</v>
      </c>
      <c r="F2334" t="s">
        <v>16</v>
      </c>
      <c r="G2334" t="s">
        <v>17</v>
      </c>
      <c r="H2334" t="s">
        <v>290</v>
      </c>
      <c r="I2334" t="s">
        <v>316</v>
      </c>
      <c r="J2334" t="s">
        <v>3486</v>
      </c>
      <c r="K2334" s="9">
        <v>43605</v>
      </c>
      <c r="L2334" s="10">
        <v>0.4770833333333333</v>
      </c>
      <c r="M2334" t="s">
        <v>3487</v>
      </c>
      <c r="N2334" t="s">
        <v>3488</v>
      </c>
      <c r="O2334" t="s">
        <v>22</v>
      </c>
    </row>
    <row r="2335" spans="1:15" hidden="1">
      <c r="A2335" t="s">
        <v>15</v>
      </c>
      <c r="B2335" t="str">
        <f>"FES1162690482"</f>
        <v>FES1162690482</v>
      </c>
      <c r="C2335" s="9">
        <v>43602</v>
      </c>
      <c r="D2335">
        <v>1</v>
      </c>
      <c r="E2335">
        <v>2170688958</v>
      </c>
      <c r="F2335" t="s">
        <v>16</v>
      </c>
      <c r="G2335" t="s">
        <v>17</v>
      </c>
      <c r="H2335" t="s">
        <v>290</v>
      </c>
      <c r="I2335" t="s">
        <v>316</v>
      </c>
      <c r="J2335" t="s">
        <v>3486</v>
      </c>
      <c r="K2335" s="9">
        <v>43605</v>
      </c>
      <c r="L2335" s="10">
        <v>0.4770833333333333</v>
      </c>
      <c r="M2335" t="s">
        <v>3487</v>
      </c>
      <c r="N2335" t="s">
        <v>3489</v>
      </c>
      <c r="O2335" t="s">
        <v>22</v>
      </c>
    </row>
    <row r="2336" spans="1:15" hidden="1">
      <c r="A2336" t="s">
        <v>15</v>
      </c>
      <c r="B2336" t="str">
        <f>"FES1162690499"</f>
        <v>FES1162690499</v>
      </c>
      <c r="C2336" s="9">
        <v>43602</v>
      </c>
      <c r="D2336">
        <v>1</v>
      </c>
      <c r="E2336">
        <v>2170688978</v>
      </c>
      <c r="F2336" t="s">
        <v>16</v>
      </c>
      <c r="G2336" t="s">
        <v>17</v>
      </c>
      <c r="H2336" t="s">
        <v>141</v>
      </c>
      <c r="I2336" t="s">
        <v>185</v>
      </c>
      <c r="J2336" t="s">
        <v>192</v>
      </c>
      <c r="K2336" s="9">
        <v>43605</v>
      </c>
      <c r="L2336" s="10">
        <v>0.45833333333333331</v>
      </c>
      <c r="M2336" t="s">
        <v>193</v>
      </c>
      <c r="N2336" t="s">
        <v>3490</v>
      </c>
      <c r="O2336" t="s">
        <v>22</v>
      </c>
    </row>
    <row r="2337" spans="1:15" hidden="1">
      <c r="A2337" t="s">
        <v>15</v>
      </c>
      <c r="B2337" t="str">
        <f>"FES1162690472"</f>
        <v>FES1162690472</v>
      </c>
      <c r="C2337" s="9">
        <v>43602</v>
      </c>
      <c r="D2337">
        <v>1</v>
      </c>
      <c r="E2337">
        <v>2170688942</v>
      </c>
      <c r="F2337" t="s">
        <v>16</v>
      </c>
      <c r="G2337" t="s">
        <v>17</v>
      </c>
      <c r="H2337" t="s">
        <v>141</v>
      </c>
      <c r="I2337" t="s">
        <v>142</v>
      </c>
      <c r="J2337" t="s">
        <v>627</v>
      </c>
      <c r="K2337" s="9">
        <v>43605</v>
      </c>
      <c r="L2337" s="10">
        <v>0.3923611111111111</v>
      </c>
      <c r="M2337" t="s">
        <v>481</v>
      </c>
      <c r="N2337" t="s">
        <v>3491</v>
      </c>
      <c r="O2337" t="s">
        <v>22</v>
      </c>
    </row>
    <row r="2338" spans="1:15" hidden="1">
      <c r="A2338" s="6" t="s">
        <v>15</v>
      </c>
      <c r="B2338" s="6" t="str">
        <f>"FES1162690494"</f>
        <v>FES1162690494</v>
      </c>
      <c r="C2338" s="7">
        <v>43602</v>
      </c>
      <c r="D2338" s="6">
        <v>1</v>
      </c>
      <c r="E2338" s="6">
        <v>217688968</v>
      </c>
      <c r="F2338" s="6" t="s">
        <v>16</v>
      </c>
      <c r="G2338" s="6" t="s">
        <v>17</v>
      </c>
      <c r="H2338" s="6" t="s">
        <v>141</v>
      </c>
      <c r="I2338" s="6" t="s">
        <v>142</v>
      </c>
      <c r="J2338" s="6" t="s">
        <v>228</v>
      </c>
      <c r="K2338" s="7">
        <v>43605</v>
      </c>
      <c r="L2338" s="8">
        <v>0.375</v>
      </c>
      <c r="M2338" s="6" t="s">
        <v>229</v>
      </c>
      <c r="N2338" s="6" t="s">
        <v>21</v>
      </c>
      <c r="O2338" s="6" t="s">
        <v>22</v>
      </c>
    </row>
    <row r="2339" spans="1:15">
      <c r="A2339" s="14" t="s">
        <v>15</v>
      </c>
      <c r="B2339" s="14" t="str">
        <f>"FES1162690489"</f>
        <v>FES1162690489</v>
      </c>
      <c r="C2339" s="15">
        <v>43602</v>
      </c>
      <c r="D2339" s="14">
        <v>1</v>
      </c>
      <c r="E2339" s="14">
        <v>2170688964</v>
      </c>
      <c r="F2339" s="14" t="s">
        <v>16</v>
      </c>
      <c r="G2339" s="14" t="s">
        <v>17</v>
      </c>
      <c r="H2339" s="14" t="s">
        <v>17</v>
      </c>
      <c r="I2339" s="14" t="s">
        <v>421</v>
      </c>
      <c r="J2339" s="14" t="s">
        <v>3492</v>
      </c>
      <c r="K2339" s="15">
        <v>43606</v>
      </c>
      <c r="L2339" s="16">
        <v>0.45</v>
      </c>
      <c r="M2339" s="14" t="s">
        <v>969</v>
      </c>
      <c r="N2339" s="14" t="s">
        <v>21</v>
      </c>
      <c r="O2339" s="14" t="s">
        <v>22</v>
      </c>
    </row>
    <row r="2340" spans="1:15">
      <c r="A2340" s="6" t="s">
        <v>15</v>
      </c>
      <c r="B2340" s="6" t="str">
        <f>"FES1162690481"</f>
        <v>FES1162690481</v>
      </c>
      <c r="C2340" s="7">
        <v>43602</v>
      </c>
      <c r="D2340" s="6">
        <v>1</v>
      </c>
      <c r="E2340" s="6">
        <v>2170688957</v>
      </c>
      <c r="F2340" s="6" t="s">
        <v>16</v>
      </c>
      <c r="G2340" s="6" t="s">
        <v>17</v>
      </c>
      <c r="H2340" s="6" t="s">
        <v>17</v>
      </c>
      <c r="I2340" s="6" t="s">
        <v>64</v>
      </c>
      <c r="J2340" s="6" t="s">
        <v>2301</v>
      </c>
      <c r="K2340" s="7">
        <v>43605</v>
      </c>
      <c r="L2340" s="8">
        <v>0.33888888888888885</v>
      </c>
      <c r="M2340" s="6" t="s">
        <v>3493</v>
      </c>
      <c r="N2340" s="6" t="s">
        <v>21</v>
      </c>
      <c r="O2340" s="6" t="s">
        <v>22</v>
      </c>
    </row>
    <row r="2341" spans="1:15" hidden="1">
      <c r="A2341" t="s">
        <v>15</v>
      </c>
      <c r="B2341" t="str">
        <f>"FES1162690485"</f>
        <v>FES1162690485</v>
      </c>
      <c r="C2341" s="9">
        <v>43602</v>
      </c>
      <c r="D2341">
        <v>1</v>
      </c>
      <c r="E2341">
        <v>2170688607</v>
      </c>
      <c r="F2341" t="s">
        <v>16</v>
      </c>
      <c r="G2341" t="s">
        <v>17</v>
      </c>
      <c r="H2341" t="s">
        <v>141</v>
      </c>
      <c r="I2341" t="s">
        <v>142</v>
      </c>
      <c r="J2341" t="s">
        <v>201</v>
      </c>
      <c r="K2341" s="9">
        <v>43605</v>
      </c>
      <c r="L2341" s="10">
        <v>0.40763888888888888</v>
      </c>
      <c r="M2341" t="s">
        <v>993</v>
      </c>
      <c r="N2341" t="s">
        <v>3494</v>
      </c>
      <c r="O2341" t="s">
        <v>22</v>
      </c>
    </row>
    <row r="2342" spans="1:15" hidden="1">
      <c r="A2342" t="s">
        <v>15</v>
      </c>
      <c r="B2342" t="str">
        <f>"FES1162690473"</f>
        <v>FES1162690473</v>
      </c>
      <c r="C2342" s="9">
        <v>43602</v>
      </c>
      <c r="D2342">
        <v>1</v>
      </c>
      <c r="E2342">
        <v>2170688943</v>
      </c>
      <c r="F2342" t="s">
        <v>16</v>
      </c>
      <c r="G2342" t="s">
        <v>17</v>
      </c>
      <c r="H2342" t="s">
        <v>141</v>
      </c>
      <c r="I2342" t="s">
        <v>142</v>
      </c>
      <c r="J2342" t="s">
        <v>3495</v>
      </c>
      <c r="K2342" s="9">
        <v>43605</v>
      </c>
      <c r="L2342" s="10">
        <v>0.32083333333333336</v>
      </c>
      <c r="M2342" t="s">
        <v>3496</v>
      </c>
      <c r="N2342" t="s">
        <v>3497</v>
      </c>
      <c r="O2342" t="s">
        <v>22</v>
      </c>
    </row>
    <row r="2343" spans="1:15" hidden="1">
      <c r="A2343" t="s">
        <v>15</v>
      </c>
      <c r="B2343" t="str">
        <f>"FES1162690465"</f>
        <v>FES1162690465</v>
      </c>
      <c r="C2343" s="9">
        <v>43602</v>
      </c>
      <c r="D2343">
        <v>1</v>
      </c>
      <c r="E2343">
        <v>2170688933</v>
      </c>
      <c r="F2343" t="s">
        <v>58</v>
      </c>
      <c r="G2343" t="s">
        <v>59</v>
      </c>
      <c r="H2343" t="s">
        <v>132</v>
      </c>
      <c r="I2343" t="s">
        <v>133</v>
      </c>
      <c r="J2343" t="s">
        <v>238</v>
      </c>
      <c r="K2343" s="9">
        <v>43605</v>
      </c>
      <c r="L2343" s="10">
        <v>0.33680555555555558</v>
      </c>
      <c r="M2343" t="s">
        <v>3498</v>
      </c>
      <c r="N2343" t="s">
        <v>3499</v>
      </c>
      <c r="O2343" t="s">
        <v>494</v>
      </c>
    </row>
    <row r="2344" spans="1:15" hidden="1">
      <c r="A2344" t="s">
        <v>15</v>
      </c>
      <c r="B2344" t="str">
        <f>"FES1162690471"</f>
        <v>FES1162690471</v>
      </c>
      <c r="C2344" s="9">
        <v>43602</v>
      </c>
      <c r="D2344">
        <v>1</v>
      </c>
      <c r="E2344">
        <v>2170688940</v>
      </c>
      <c r="F2344" t="s">
        <v>16</v>
      </c>
      <c r="G2344" t="s">
        <v>17</v>
      </c>
      <c r="H2344" t="s">
        <v>141</v>
      </c>
      <c r="I2344" t="s">
        <v>142</v>
      </c>
      <c r="J2344" t="s">
        <v>143</v>
      </c>
      <c r="K2344" s="9">
        <v>43605</v>
      </c>
      <c r="L2344" s="10">
        <v>0.38611111111111113</v>
      </c>
      <c r="M2344" t="s">
        <v>3483</v>
      </c>
      <c r="N2344" t="s">
        <v>3500</v>
      </c>
      <c r="O2344" t="s">
        <v>22</v>
      </c>
    </row>
    <row r="2345" spans="1:15" hidden="1">
      <c r="A2345" t="s">
        <v>15</v>
      </c>
      <c r="B2345" t="str">
        <f>"FES1162690486"</f>
        <v>FES1162690486</v>
      </c>
      <c r="C2345" s="9">
        <v>43602</v>
      </c>
      <c r="D2345">
        <v>1</v>
      </c>
      <c r="E2345">
        <v>2170686851</v>
      </c>
      <c r="F2345" t="s">
        <v>16</v>
      </c>
      <c r="G2345" t="s">
        <v>17</v>
      </c>
      <c r="H2345" t="s">
        <v>141</v>
      </c>
      <c r="I2345" t="s">
        <v>142</v>
      </c>
      <c r="J2345" t="s">
        <v>917</v>
      </c>
      <c r="K2345" s="9">
        <v>43605</v>
      </c>
      <c r="L2345" s="10">
        <v>0.31805555555555554</v>
      </c>
      <c r="M2345" t="s">
        <v>918</v>
      </c>
      <c r="N2345" t="s">
        <v>3501</v>
      </c>
      <c r="O2345" t="s">
        <v>22</v>
      </c>
    </row>
    <row r="2346" spans="1:15" hidden="1">
      <c r="A2346" s="14" t="s">
        <v>15</v>
      </c>
      <c r="B2346" s="14" t="str">
        <f>"FES1162690510"</f>
        <v>FES1162690510</v>
      </c>
      <c r="C2346" s="15">
        <v>43602</v>
      </c>
      <c r="D2346" s="14">
        <v>1</v>
      </c>
      <c r="E2346" s="14">
        <v>2170688981</v>
      </c>
      <c r="F2346" s="14" t="s">
        <v>16</v>
      </c>
      <c r="G2346" s="14" t="s">
        <v>17</v>
      </c>
      <c r="H2346" s="14" t="s">
        <v>141</v>
      </c>
      <c r="I2346" s="14" t="s">
        <v>142</v>
      </c>
      <c r="J2346" s="14" t="s">
        <v>976</v>
      </c>
      <c r="K2346" s="15">
        <v>43605</v>
      </c>
      <c r="L2346" s="16">
        <v>0.36527777777777781</v>
      </c>
      <c r="M2346" s="14" t="s">
        <v>3457</v>
      </c>
      <c r="N2346" s="14" t="s">
        <v>21</v>
      </c>
      <c r="O2346" s="14" t="s">
        <v>22</v>
      </c>
    </row>
    <row r="2347" spans="1:15">
      <c r="A2347" s="6" t="s">
        <v>15</v>
      </c>
      <c r="B2347" s="6" t="str">
        <f>"FES1162690508"</f>
        <v>FES1162690508</v>
      </c>
      <c r="C2347" s="7">
        <v>43602</v>
      </c>
      <c r="D2347" s="6">
        <v>1</v>
      </c>
      <c r="E2347" s="6">
        <v>2170688732</v>
      </c>
      <c r="F2347" s="6" t="s">
        <v>16</v>
      </c>
      <c r="G2347" s="6" t="s">
        <v>17</v>
      </c>
      <c r="H2347" s="6" t="s">
        <v>17</v>
      </c>
      <c r="I2347" s="6" t="s">
        <v>26</v>
      </c>
      <c r="J2347" s="6" t="s">
        <v>27</v>
      </c>
      <c r="K2347" s="7">
        <v>43605</v>
      </c>
      <c r="L2347" s="8">
        <v>0.50624999999999998</v>
      </c>
      <c r="M2347" s="6" t="s">
        <v>3502</v>
      </c>
      <c r="N2347" s="6" t="s">
        <v>21</v>
      </c>
      <c r="O2347" s="6" t="s">
        <v>22</v>
      </c>
    </row>
    <row r="2348" spans="1:15" hidden="1">
      <c r="A2348" s="3" t="s">
        <v>15</v>
      </c>
      <c r="B2348" s="3" t="str">
        <f>"FES1162690504"</f>
        <v>FES1162690504</v>
      </c>
      <c r="C2348" s="4">
        <v>43602</v>
      </c>
      <c r="D2348" s="3">
        <v>1</v>
      </c>
      <c r="E2348" s="3">
        <v>2170685158</v>
      </c>
      <c r="F2348" s="3" t="s">
        <v>16</v>
      </c>
      <c r="G2348" s="3" t="s">
        <v>17</v>
      </c>
      <c r="H2348" s="3" t="s">
        <v>43</v>
      </c>
      <c r="I2348" s="3" t="s">
        <v>44</v>
      </c>
      <c r="J2348" s="3" t="s">
        <v>207</v>
      </c>
      <c r="K2348" s="4">
        <v>43605</v>
      </c>
      <c r="L2348" s="5">
        <v>0.41666666666666669</v>
      </c>
      <c r="M2348" s="3" t="s">
        <v>1789</v>
      </c>
      <c r="N2348" s="3" t="s">
        <v>21</v>
      </c>
      <c r="O2348" s="3" t="s">
        <v>22</v>
      </c>
    </row>
    <row r="2349" spans="1:15">
      <c r="A2349" s="14" t="s">
        <v>15</v>
      </c>
      <c r="B2349" s="14" t="str">
        <f>"FES1162690491"</f>
        <v>FES1162690491</v>
      </c>
      <c r="C2349" s="15">
        <v>43602</v>
      </c>
      <c r="D2349" s="14">
        <v>1</v>
      </c>
      <c r="E2349" s="14">
        <v>2170688967</v>
      </c>
      <c r="F2349" s="14" t="s">
        <v>16</v>
      </c>
      <c r="G2349" s="14" t="s">
        <v>17</v>
      </c>
      <c r="H2349" s="14" t="s">
        <v>17</v>
      </c>
      <c r="I2349" s="14" t="s">
        <v>64</v>
      </c>
      <c r="J2349" s="14" t="s">
        <v>3503</v>
      </c>
      <c r="K2349" s="15">
        <v>43605</v>
      </c>
      <c r="L2349" s="16">
        <v>0.41875000000000001</v>
      </c>
      <c r="M2349" s="14" t="s">
        <v>3504</v>
      </c>
      <c r="N2349" s="14" t="s">
        <v>21</v>
      </c>
      <c r="O2349" s="14" t="s">
        <v>22</v>
      </c>
    </row>
    <row r="2350" spans="1:15">
      <c r="A2350" s="6" t="s">
        <v>15</v>
      </c>
      <c r="B2350" s="6" t="str">
        <f>"FES1162690466"</f>
        <v>FES1162690466</v>
      </c>
      <c r="C2350" s="7">
        <v>43602</v>
      </c>
      <c r="D2350" s="6">
        <v>1</v>
      </c>
      <c r="E2350" s="6">
        <v>2170688934</v>
      </c>
      <c r="F2350" s="6" t="s">
        <v>16</v>
      </c>
      <c r="G2350" s="6" t="s">
        <v>17</v>
      </c>
      <c r="H2350" s="6" t="s">
        <v>17</v>
      </c>
      <c r="I2350" s="6" t="s">
        <v>64</v>
      </c>
      <c r="J2350" s="6" t="s">
        <v>1491</v>
      </c>
      <c r="K2350" s="7">
        <v>43605</v>
      </c>
      <c r="L2350" s="8">
        <v>0.41666666666666669</v>
      </c>
      <c r="M2350" s="6" t="s">
        <v>3505</v>
      </c>
      <c r="N2350" s="6" t="s">
        <v>21</v>
      </c>
      <c r="O2350" s="6" t="s">
        <v>22</v>
      </c>
    </row>
    <row r="2351" spans="1:15" hidden="1">
      <c r="A2351" t="s">
        <v>15</v>
      </c>
      <c r="B2351" t="str">
        <f>"FES1162690398"</f>
        <v>FES1162690398</v>
      </c>
      <c r="C2351" s="9">
        <v>43602</v>
      </c>
      <c r="D2351">
        <v>1</v>
      </c>
      <c r="E2351">
        <v>2170688522</v>
      </c>
      <c r="F2351" t="s">
        <v>16</v>
      </c>
      <c r="G2351" t="s">
        <v>17</v>
      </c>
      <c r="H2351" t="s">
        <v>141</v>
      </c>
      <c r="I2351" t="s">
        <v>448</v>
      </c>
      <c r="J2351" t="s">
        <v>449</v>
      </c>
      <c r="K2351" s="9">
        <v>43605</v>
      </c>
      <c r="L2351" s="10">
        <v>0.375</v>
      </c>
      <c r="M2351" t="s">
        <v>1182</v>
      </c>
      <c r="N2351" t="s">
        <v>3506</v>
      </c>
      <c r="O2351" t="s">
        <v>22</v>
      </c>
    </row>
    <row r="2352" spans="1:15" hidden="1">
      <c r="A2352" t="s">
        <v>15</v>
      </c>
      <c r="B2352" t="str">
        <f>"FES1162690444"</f>
        <v>FES1162690444</v>
      </c>
      <c r="C2352" s="9">
        <v>43602</v>
      </c>
      <c r="D2352">
        <v>1</v>
      </c>
      <c r="E2352">
        <v>2170688905</v>
      </c>
      <c r="F2352" t="s">
        <v>16</v>
      </c>
      <c r="G2352" t="s">
        <v>17</v>
      </c>
      <c r="H2352" t="s">
        <v>43</v>
      </c>
      <c r="I2352" t="s">
        <v>44</v>
      </c>
      <c r="J2352" t="s">
        <v>1605</v>
      </c>
      <c r="K2352" s="9">
        <v>43605</v>
      </c>
      <c r="L2352" s="10">
        <v>0.41666666666666669</v>
      </c>
      <c r="M2352" t="s">
        <v>3361</v>
      </c>
      <c r="N2352" t="s">
        <v>3507</v>
      </c>
      <c r="O2352" t="s">
        <v>22</v>
      </c>
    </row>
    <row r="2353" spans="1:15" hidden="1">
      <c r="A2353" t="s">
        <v>15</v>
      </c>
      <c r="B2353" t="str">
        <f>"FES1162690506"</f>
        <v>FES1162690506</v>
      </c>
      <c r="C2353" s="9">
        <v>43602</v>
      </c>
      <c r="D2353">
        <v>1</v>
      </c>
      <c r="E2353">
        <v>2170686980</v>
      </c>
      <c r="F2353" t="s">
        <v>58</v>
      </c>
      <c r="G2353" t="s">
        <v>59</v>
      </c>
      <c r="H2353" t="s">
        <v>2986</v>
      </c>
      <c r="I2353" t="s">
        <v>291</v>
      </c>
      <c r="J2353" t="s">
        <v>1030</v>
      </c>
      <c r="K2353" s="9">
        <v>43605</v>
      </c>
      <c r="L2353" s="10">
        <v>0.375</v>
      </c>
      <c r="M2353" t="s">
        <v>56</v>
      </c>
      <c r="N2353" t="s">
        <v>3508</v>
      </c>
      <c r="O2353" t="s">
        <v>22</v>
      </c>
    </row>
    <row r="2354" spans="1:15" hidden="1">
      <c r="A2354" s="14" t="s">
        <v>15</v>
      </c>
      <c r="B2354" s="14" t="str">
        <f>"FES1162690497"</f>
        <v>FES1162690497</v>
      </c>
      <c r="C2354" s="15">
        <v>43602</v>
      </c>
      <c r="D2354" s="14">
        <v>1</v>
      </c>
      <c r="E2354" s="14">
        <v>2170688975</v>
      </c>
      <c r="F2354" s="14" t="s">
        <v>58</v>
      </c>
      <c r="G2354" s="14" t="s">
        <v>59</v>
      </c>
      <c r="H2354" s="14" t="s">
        <v>141</v>
      </c>
      <c r="I2354" s="14" t="s">
        <v>142</v>
      </c>
      <c r="J2354" s="14" t="s">
        <v>627</v>
      </c>
      <c r="K2354" s="15">
        <v>43605</v>
      </c>
      <c r="L2354" s="16">
        <v>0.3923611111111111</v>
      </c>
      <c r="M2354" s="14" t="s">
        <v>481</v>
      </c>
      <c r="N2354" s="14" t="s">
        <v>21</v>
      </c>
      <c r="O2354" s="14" t="s">
        <v>22</v>
      </c>
    </row>
    <row r="2355" spans="1:15">
      <c r="A2355" s="6" t="s">
        <v>15</v>
      </c>
      <c r="B2355" s="6" t="str">
        <f>"FES1162690509"</f>
        <v>FES1162690509</v>
      </c>
      <c r="C2355" s="7">
        <v>43602</v>
      </c>
      <c r="D2355" s="6">
        <v>1</v>
      </c>
      <c r="E2355" s="6">
        <v>2170688964</v>
      </c>
      <c r="F2355" s="6" t="s">
        <v>16</v>
      </c>
      <c r="G2355" s="6" t="s">
        <v>17</v>
      </c>
      <c r="H2355" s="6" t="s">
        <v>17</v>
      </c>
      <c r="I2355" s="6" t="s">
        <v>421</v>
      </c>
      <c r="J2355" s="6" t="s">
        <v>3492</v>
      </c>
      <c r="K2355" s="7">
        <v>43606</v>
      </c>
      <c r="L2355" s="8">
        <v>0.33333333333333331</v>
      </c>
      <c r="M2355" s="6" t="s">
        <v>3509</v>
      </c>
      <c r="N2355" s="6" t="s">
        <v>21</v>
      </c>
      <c r="O2355" s="6" t="s">
        <v>22</v>
      </c>
    </row>
    <row r="2356" spans="1:15" hidden="1">
      <c r="A2356" t="s">
        <v>15</v>
      </c>
      <c r="B2356" t="str">
        <f>"FES1162690533"</f>
        <v>FES1162690533</v>
      </c>
      <c r="C2356" s="9">
        <v>43602</v>
      </c>
      <c r="D2356">
        <v>1</v>
      </c>
      <c r="E2356">
        <v>2170688399</v>
      </c>
      <c r="F2356" t="s">
        <v>16</v>
      </c>
      <c r="G2356" t="s">
        <v>17</v>
      </c>
      <c r="H2356" t="s">
        <v>290</v>
      </c>
      <c r="I2356" t="s">
        <v>291</v>
      </c>
      <c r="J2356" t="s">
        <v>297</v>
      </c>
      <c r="K2356" s="9">
        <v>43605</v>
      </c>
      <c r="L2356" s="10">
        <v>0.35000000000000003</v>
      </c>
      <c r="M2356" t="s">
        <v>298</v>
      </c>
      <c r="N2356" t="s">
        <v>3510</v>
      </c>
      <c r="O2356" t="s">
        <v>22</v>
      </c>
    </row>
    <row r="2357" spans="1:15" hidden="1">
      <c r="A2357" t="s">
        <v>15</v>
      </c>
      <c r="B2357" t="str">
        <f>"FES1162690535"</f>
        <v>FES1162690535</v>
      </c>
      <c r="C2357" s="9">
        <v>43602</v>
      </c>
      <c r="D2357">
        <v>1</v>
      </c>
      <c r="E2357">
        <v>2170689017</v>
      </c>
      <c r="F2357" t="s">
        <v>16</v>
      </c>
      <c r="G2357" t="s">
        <v>17</v>
      </c>
      <c r="H2357" t="s">
        <v>290</v>
      </c>
      <c r="I2357" t="s">
        <v>309</v>
      </c>
      <c r="J2357" t="s">
        <v>1037</v>
      </c>
      <c r="K2357" s="9">
        <v>43605</v>
      </c>
      <c r="L2357" s="10">
        <v>0.37013888888888885</v>
      </c>
      <c r="M2357" t="s">
        <v>1038</v>
      </c>
      <c r="N2357" t="s">
        <v>3511</v>
      </c>
      <c r="O2357" t="s">
        <v>22</v>
      </c>
    </row>
    <row r="2358" spans="1:15" hidden="1">
      <c r="A2358" t="s">
        <v>15</v>
      </c>
      <c r="B2358" t="str">
        <f>"FES1162690534"</f>
        <v>FES1162690534</v>
      </c>
      <c r="C2358" s="9">
        <v>43602</v>
      </c>
      <c r="D2358">
        <v>1</v>
      </c>
      <c r="E2358">
        <v>2170689016</v>
      </c>
      <c r="F2358" t="s">
        <v>16</v>
      </c>
      <c r="G2358" t="s">
        <v>17</v>
      </c>
      <c r="H2358" t="s">
        <v>290</v>
      </c>
      <c r="I2358" t="s">
        <v>309</v>
      </c>
      <c r="J2358" t="s">
        <v>1037</v>
      </c>
      <c r="K2358" s="9">
        <v>43605</v>
      </c>
      <c r="L2358" s="10">
        <v>0.37013888888888885</v>
      </c>
      <c r="M2358" t="s">
        <v>1334</v>
      </c>
      <c r="N2358" t="s">
        <v>3512</v>
      </c>
      <c r="O2358" t="s">
        <v>22</v>
      </c>
    </row>
    <row r="2359" spans="1:15" hidden="1">
      <c r="A2359" t="s">
        <v>15</v>
      </c>
      <c r="B2359" t="str">
        <f>"FES1162690503"</f>
        <v>FES1162690503</v>
      </c>
      <c r="C2359" s="9">
        <v>43602</v>
      </c>
      <c r="D2359">
        <v>1</v>
      </c>
      <c r="E2359">
        <v>2170684972</v>
      </c>
      <c r="F2359" t="s">
        <v>16</v>
      </c>
      <c r="G2359" t="s">
        <v>17</v>
      </c>
      <c r="H2359" t="s">
        <v>290</v>
      </c>
      <c r="I2359" t="s">
        <v>309</v>
      </c>
      <c r="J2359" t="s">
        <v>310</v>
      </c>
      <c r="K2359" s="9">
        <v>43605</v>
      </c>
      <c r="L2359" s="10">
        <v>0.40902777777777777</v>
      </c>
      <c r="M2359" t="s">
        <v>311</v>
      </c>
      <c r="N2359" t="s">
        <v>3513</v>
      </c>
      <c r="O2359" t="s">
        <v>22</v>
      </c>
    </row>
    <row r="2360" spans="1:15" hidden="1">
      <c r="A2360" t="s">
        <v>15</v>
      </c>
      <c r="B2360" t="str">
        <f>"FES1162690516"</f>
        <v>FES1162690516</v>
      </c>
      <c r="C2360" s="9">
        <v>43602</v>
      </c>
      <c r="D2360">
        <v>1</v>
      </c>
      <c r="E2360">
        <v>2170688987</v>
      </c>
      <c r="F2360" t="s">
        <v>16</v>
      </c>
      <c r="G2360" t="s">
        <v>17</v>
      </c>
      <c r="H2360" t="s">
        <v>290</v>
      </c>
      <c r="I2360" t="s">
        <v>291</v>
      </c>
      <c r="J2360" t="s">
        <v>1744</v>
      </c>
      <c r="K2360" s="9">
        <v>43605</v>
      </c>
      <c r="L2360" s="10">
        <v>0.37013888888888885</v>
      </c>
      <c r="M2360" t="s">
        <v>1745</v>
      </c>
      <c r="N2360" t="s">
        <v>3514</v>
      </c>
      <c r="O2360" t="s">
        <v>22</v>
      </c>
    </row>
    <row r="2361" spans="1:15" hidden="1">
      <c r="A2361" t="s">
        <v>15</v>
      </c>
      <c r="B2361" t="str">
        <f>"FES1162690517"</f>
        <v>FES1162690517</v>
      </c>
      <c r="C2361" s="9">
        <v>43602</v>
      </c>
      <c r="D2361">
        <v>1</v>
      </c>
      <c r="E2361">
        <v>2170688988</v>
      </c>
      <c r="F2361" t="s">
        <v>16</v>
      </c>
      <c r="G2361" t="s">
        <v>17</v>
      </c>
      <c r="H2361" t="s">
        <v>300</v>
      </c>
      <c r="I2361" t="s">
        <v>301</v>
      </c>
      <c r="J2361" t="s">
        <v>3515</v>
      </c>
      <c r="K2361" s="9">
        <v>43605</v>
      </c>
      <c r="L2361" s="10">
        <v>0.34861111111111115</v>
      </c>
      <c r="M2361" t="s">
        <v>3516</v>
      </c>
      <c r="N2361" t="s">
        <v>3517</v>
      </c>
      <c r="O2361" t="s">
        <v>22</v>
      </c>
    </row>
    <row r="2362" spans="1:15" hidden="1">
      <c r="A2362" t="s">
        <v>15</v>
      </c>
      <c r="B2362" t="str">
        <f>"FES1162690531"</f>
        <v>FES1162690531</v>
      </c>
      <c r="C2362" s="9">
        <v>43602</v>
      </c>
      <c r="D2362">
        <v>1</v>
      </c>
      <c r="E2362">
        <v>2170689014</v>
      </c>
      <c r="F2362" t="s">
        <v>16</v>
      </c>
      <c r="G2362" t="s">
        <v>17</v>
      </c>
      <c r="H2362" t="s">
        <v>43</v>
      </c>
      <c r="I2362" t="s">
        <v>44</v>
      </c>
      <c r="J2362" t="s">
        <v>114</v>
      </c>
      <c r="K2362" s="9">
        <v>43605</v>
      </c>
      <c r="L2362" s="10">
        <v>0.42291666666666666</v>
      </c>
      <c r="M2362" t="s">
        <v>3518</v>
      </c>
      <c r="N2362" t="s">
        <v>3519</v>
      </c>
      <c r="O2362" t="s">
        <v>22</v>
      </c>
    </row>
    <row r="2363" spans="1:15" hidden="1">
      <c r="A2363" t="s">
        <v>15</v>
      </c>
      <c r="B2363" t="str">
        <f>"FES1162690505"</f>
        <v>FES1162690505</v>
      </c>
      <c r="C2363" s="9">
        <v>43602</v>
      </c>
      <c r="D2363">
        <v>1</v>
      </c>
      <c r="E2363">
        <v>2170685586</v>
      </c>
      <c r="F2363" t="s">
        <v>16</v>
      </c>
      <c r="G2363" t="s">
        <v>17</v>
      </c>
      <c r="H2363" t="s">
        <v>37</v>
      </c>
      <c r="I2363" t="s">
        <v>38</v>
      </c>
      <c r="J2363" t="s">
        <v>766</v>
      </c>
      <c r="K2363" s="9">
        <v>43606</v>
      </c>
      <c r="L2363" s="10">
        <v>0.3611111111111111</v>
      </c>
      <c r="M2363" t="s">
        <v>3520</v>
      </c>
      <c r="N2363" t="s">
        <v>3521</v>
      </c>
      <c r="O2363" t="s">
        <v>22</v>
      </c>
    </row>
    <row r="2364" spans="1:15" hidden="1">
      <c r="A2364" t="s">
        <v>15</v>
      </c>
      <c r="B2364" t="str">
        <f>"FES1162690528"</f>
        <v>FES1162690528</v>
      </c>
      <c r="C2364" s="9">
        <v>43602</v>
      </c>
      <c r="D2364">
        <v>1</v>
      </c>
      <c r="E2364">
        <v>2170689000</v>
      </c>
      <c r="F2364" t="s">
        <v>16</v>
      </c>
      <c r="G2364" t="s">
        <v>17</v>
      </c>
      <c r="H2364" t="s">
        <v>37</v>
      </c>
      <c r="I2364" t="s">
        <v>38</v>
      </c>
      <c r="J2364" t="s">
        <v>2655</v>
      </c>
      <c r="K2364" s="9">
        <v>43606</v>
      </c>
      <c r="L2364" s="10">
        <v>0.39583333333333331</v>
      </c>
      <c r="M2364" t="s">
        <v>542</v>
      </c>
      <c r="N2364" t="s">
        <v>3522</v>
      </c>
      <c r="O2364" t="s">
        <v>22</v>
      </c>
    </row>
    <row r="2365" spans="1:15" hidden="1">
      <c r="A2365" t="s">
        <v>15</v>
      </c>
      <c r="B2365" t="str">
        <f>"FES1162687219"</f>
        <v>FES1162687219</v>
      </c>
      <c r="C2365" s="9">
        <v>43602</v>
      </c>
      <c r="D2365">
        <v>1</v>
      </c>
      <c r="E2365">
        <v>2170684871</v>
      </c>
      <c r="F2365" t="s">
        <v>16</v>
      </c>
      <c r="G2365" t="s">
        <v>17</v>
      </c>
      <c r="H2365" t="s">
        <v>43</v>
      </c>
      <c r="I2365" t="s">
        <v>44</v>
      </c>
      <c r="J2365" t="s">
        <v>1524</v>
      </c>
      <c r="K2365" s="9">
        <v>43605</v>
      </c>
      <c r="L2365" s="10">
        <v>0.41666666666666669</v>
      </c>
      <c r="M2365" t="s">
        <v>3523</v>
      </c>
      <c r="N2365" t="s">
        <v>3524</v>
      </c>
      <c r="O2365" t="s">
        <v>22</v>
      </c>
    </row>
    <row r="2366" spans="1:15" hidden="1">
      <c r="A2366" t="s">
        <v>15</v>
      </c>
      <c r="B2366" t="str">
        <f>"FES1162687335"</f>
        <v>FES1162687335</v>
      </c>
      <c r="C2366" s="9">
        <v>43602</v>
      </c>
      <c r="D2366">
        <v>1</v>
      </c>
      <c r="E2366">
        <v>2170684871</v>
      </c>
      <c r="F2366" t="s">
        <v>16</v>
      </c>
      <c r="G2366" t="s">
        <v>17</v>
      </c>
      <c r="H2366" t="s">
        <v>43</v>
      </c>
      <c r="I2366" t="s">
        <v>44</v>
      </c>
      <c r="J2366" t="s">
        <v>1524</v>
      </c>
      <c r="K2366" s="9">
        <v>43605</v>
      </c>
      <c r="L2366" s="10">
        <v>0.41666666666666669</v>
      </c>
      <c r="M2366" t="s">
        <v>3523</v>
      </c>
      <c r="N2366" t="s">
        <v>3525</v>
      </c>
      <c r="O2366" t="s">
        <v>22</v>
      </c>
    </row>
    <row r="2367" spans="1:15" hidden="1">
      <c r="A2367" t="s">
        <v>15</v>
      </c>
      <c r="B2367" t="str">
        <f>"FES1162690527"</f>
        <v>FES1162690527</v>
      </c>
      <c r="C2367" s="9">
        <v>43602</v>
      </c>
      <c r="D2367">
        <v>1</v>
      </c>
      <c r="E2367">
        <v>2170689010</v>
      </c>
      <c r="F2367" t="s">
        <v>16</v>
      </c>
      <c r="G2367" t="s">
        <v>17</v>
      </c>
      <c r="H2367" t="s">
        <v>141</v>
      </c>
      <c r="I2367" t="s">
        <v>185</v>
      </c>
      <c r="J2367" t="s">
        <v>1011</v>
      </c>
      <c r="K2367" s="9">
        <v>43605</v>
      </c>
      <c r="L2367" s="10">
        <v>0.34375</v>
      </c>
      <c r="M2367" t="s">
        <v>1012</v>
      </c>
      <c r="N2367" t="s">
        <v>3526</v>
      </c>
      <c r="O2367" t="s">
        <v>22</v>
      </c>
    </row>
    <row r="2368" spans="1:15" hidden="1">
      <c r="A2368" t="s">
        <v>15</v>
      </c>
      <c r="B2368" t="str">
        <f>"FES1162690529"</f>
        <v>FES1162690529</v>
      </c>
      <c r="C2368" s="9">
        <v>43602</v>
      </c>
      <c r="D2368">
        <v>1</v>
      </c>
      <c r="E2368">
        <v>2170689007</v>
      </c>
      <c r="F2368" t="s">
        <v>16</v>
      </c>
      <c r="G2368" t="s">
        <v>17</v>
      </c>
      <c r="H2368" t="s">
        <v>141</v>
      </c>
      <c r="I2368" t="s">
        <v>185</v>
      </c>
      <c r="J2368" t="s">
        <v>192</v>
      </c>
      <c r="K2368" s="9">
        <v>43605</v>
      </c>
      <c r="L2368" s="10">
        <v>0.45833333333333331</v>
      </c>
      <c r="M2368" t="s">
        <v>193</v>
      </c>
      <c r="N2368" t="s">
        <v>3527</v>
      </c>
      <c r="O2368" t="s">
        <v>22</v>
      </c>
    </row>
    <row r="2369" spans="1:15" hidden="1">
      <c r="A2369" s="6" t="s">
        <v>15</v>
      </c>
      <c r="B2369" s="6" t="str">
        <f>"FES1162690532"</f>
        <v>FES1162690532</v>
      </c>
      <c r="C2369" s="7">
        <v>43602</v>
      </c>
      <c r="D2369" s="6">
        <v>2</v>
      </c>
      <c r="E2369" s="6">
        <v>2170686757</v>
      </c>
      <c r="F2369" s="6" t="s">
        <v>58</v>
      </c>
      <c r="G2369" s="6" t="s">
        <v>59</v>
      </c>
      <c r="H2369" s="6" t="s">
        <v>141</v>
      </c>
      <c r="I2369" s="6" t="s">
        <v>142</v>
      </c>
      <c r="J2369" s="6" t="s">
        <v>917</v>
      </c>
      <c r="K2369" s="7">
        <v>43605</v>
      </c>
      <c r="L2369" s="8">
        <v>0.47222222222222227</v>
      </c>
      <c r="M2369" s="6" t="s">
        <v>3528</v>
      </c>
      <c r="N2369" s="6" t="s">
        <v>21</v>
      </c>
      <c r="O2369" s="6" t="s">
        <v>22</v>
      </c>
    </row>
    <row r="2370" spans="1:15">
      <c r="A2370" s="6" t="s">
        <v>15</v>
      </c>
      <c r="B2370" s="6" t="str">
        <f>"FES1162690512"</f>
        <v>FES1162690512</v>
      </c>
      <c r="C2370" s="7">
        <v>43602</v>
      </c>
      <c r="D2370" s="6">
        <v>1</v>
      </c>
      <c r="E2370" s="6">
        <v>2170688982</v>
      </c>
      <c r="F2370" s="6" t="s">
        <v>16</v>
      </c>
      <c r="G2370" s="6" t="s">
        <v>17</v>
      </c>
      <c r="H2370" s="6" t="s">
        <v>17</v>
      </c>
      <c r="I2370" s="6" t="s">
        <v>701</v>
      </c>
      <c r="J2370" s="6" t="s">
        <v>1379</v>
      </c>
      <c r="K2370" s="7">
        <v>43605</v>
      </c>
      <c r="L2370" s="8">
        <v>0.37847222222222227</v>
      </c>
      <c r="M2370" s="6" t="s">
        <v>3529</v>
      </c>
      <c r="N2370" s="6" t="s">
        <v>21</v>
      </c>
      <c r="O2370" s="6" t="s">
        <v>22</v>
      </c>
    </row>
    <row r="2371" spans="1:15">
      <c r="A2371" s="6" t="s">
        <v>15</v>
      </c>
      <c r="B2371" s="6" t="str">
        <f>"FES1162690522"</f>
        <v>FES1162690522</v>
      </c>
      <c r="C2371" s="7">
        <v>43602</v>
      </c>
      <c r="D2371" s="6">
        <v>1</v>
      </c>
      <c r="E2371" s="6">
        <v>2170688997</v>
      </c>
      <c r="F2371" s="6" t="s">
        <v>16</v>
      </c>
      <c r="G2371" s="6" t="s">
        <v>17</v>
      </c>
      <c r="H2371" s="6" t="s">
        <v>17</v>
      </c>
      <c r="I2371" s="6" t="s">
        <v>18</v>
      </c>
      <c r="J2371" s="6" t="s">
        <v>1145</v>
      </c>
      <c r="K2371" s="7">
        <v>43605</v>
      </c>
      <c r="L2371" s="8">
        <v>0.35069444444444442</v>
      </c>
      <c r="M2371" s="6" t="s">
        <v>3530</v>
      </c>
      <c r="N2371" s="6" t="s">
        <v>21</v>
      </c>
      <c r="O2371" s="6" t="s">
        <v>22</v>
      </c>
    </row>
    <row r="2372" spans="1:15">
      <c r="A2372" s="14" t="s">
        <v>15</v>
      </c>
      <c r="B2372" s="14" t="str">
        <f>"FES1162690521"</f>
        <v>FES1162690521</v>
      </c>
      <c r="C2372" s="15">
        <v>43602</v>
      </c>
      <c r="D2372" s="14">
        <v>1</v>
      </c>
      <c r="E2372" s="14">
        <v>2170688996</v>
      </c>
      <c r="F2372" s="14" t="s">
        <v>16</v>
      </c>
      <c r="G2372" s="14" t="s">
        <v>17</v>
      </c>
      <c r="H2372" s="14" t="s">
        <v>17</v>
      </c>
      <c r="I2372" s="14" t="s">
        <v>18</v>
      </c>
      <c r="J2372" s="14" t="s">
        <v>1145</v>
      </c>
      <c r="K2372" s="15">
        <v>43605</v>
      </c>
      <c r="L2372" s="16">
        <v>0.35069444444444442</v>
      </c>
      <c r="M2372" s="14" t="s">
        <v>3531</v>
      </c>
      <c r="N2372" s="14" t="s">
        <v>21</v>
      </c>
      <c r="O2372" s="14" t="s">
        <v>22</v>
      </c>
    </row>
    <row r="2373" spans="1:15">
      <c r="A2373" s="6" t="s">
        <v>15</v>
      </c>
      <c r="B2373" s="6" t="str">
        <f>"FES1162690526"</f>
        <v>FES1162690526</v>
      </c>
      <c r="C2373" s="7">
        <v>43602</v>
      </c>
      <c r="D2373" s="6">
        <v>1</v>
      </c>
      <c r="E2373" s="6">
        <v>2170689006</v>
      </c>
      <c r="F2373" s="6" t="s">
        <v>16</v>
      </c>
      <c r="G2373" s="6" t="s">
        <v>17</v>
      </c>
      <c r="H2373" s="6" t="s">
        <v>17</v>
      </c>
      <c r="I2373" s="6" t="s">
        <v>84</v>
      </c>
      <c r="J2373" s="6" t="s">
        <v>85</v>
      </c>
      <c r="K2373" s="7">
        <v>43605</v>
      </c>
      <c r="L2373" s="8">
        <v>0.33333333333333331</v>
      </c>
      <c r="M2373" s="6" t="s">
        <v>2124</v>
      </c>
      <c r="N2373" s="6" t="s">
        <v>21</v>
      </c>
      <c r="O2373" s="6" t="s">
        <v>22</v>
      </c>
    </row>
    <row r="2374" spans="1:15" hidden="1">
      <c r="A2374" t="s">
        <v>15</v>
      </c>
      <c r="B2374" t="str">
        <f>"FES1162690500"</f>
        <v>FES1162690500</v>
      </c>
      <c r="C2374" s="9">
        <v>43602</v>
      </c>
      <c r="D2374">
        <v>1</v>
      </c>
      <c r="E2374">
        <v>2170688629</v>
      </c>
      <c r="F2374" t="s">
        <v>16</v>
      </c>
      <c r="G2374" t="s">
        <v>17</v>
      </c>
      <c r="H2374" t="s">
        <v>141</v>
      </c>
      <c r="I2374" t="s">
        <v>142</v>
      </c>
      <c r="J2374" t="s">
        <v>864</v>
      </c>
      <c r="K2374" s="9">
        <v>43605</v>
      </c>
      <c r="L2374" s="10">
        <v>0.33680555555555558</v>
      </c>
      <c r="M2374" t="s">
        <v>3450</v>
      </c>
      <c r="N2374" t="s">
        <v>3532</v>
      </c>
      <c r="O2374" t="s">
        <v>22</v>
      </c>
    </row>
    <row r="2375" spans="1:15" hidden="1">
      <c r="A2375" t="s">
        <v>15</v>
      </c>
      <c r="B2375" t="str">
        <f>"FES1162690501"</f>
        <v>FES1162690501</v>
      </c>
      <c r="C2375" s="9">
        <v>43602</v>
      </c>
      <c r="D2375">
        <v>1</v>
      </c>
      <c r="E2375">
        <v>2170688628</v>
      </c>
      <c r="F2375" t="s">
        <v>16</v>
      </c>
      <c r="G2375" t="s">
        <v>17</v>
      </c>
      <c r="H2375" t="s">
        <v>141</v>
      </c>
      <c r="I2375" t="s">
        <v>142</v>
      </c>
      <c r="J2375" t="s">
        <v>864</v>
      </c>
      <c r="K2375" s="9">
        <v>43605</v>
      </c>
      <c r="L2375" s="10">
        <v>0.33680555555555558</v>
      </c>
      <c r="M2375" t="s">
        <v>3450</v>
      </c>
      <c r="N2375" t="s">
        <v>3533</v>
      </c>
      <c r="O2375" t="s">
        <v>22</v>
      </c>
    </row>
    <row r="2376" spans="1:15" hidden="1">
      <c r="A2376" t="s">
        <v>15</v>
      </c>
      <c r="B2376" t="str">
        <f>"FES1162690511"</f>
        <v>FES1162690511</v>
      </c>
      <c r="C2376" s="9">
        <v>43602</v>
      </c>
      <c r="D2376">
        <v>1</v>
      </c>
      <c r="E2376">
        <v>2170688984</v>
      </c>
      <c r="F2376" t="s">
        <v>16</v>
      </c>
      <c r="G2376" t="s">
        <v>17</v>
      </c>
      <c r="H2376" t="s">
        <v>37</v>
      </c>
      <c r="I2376" t="s">
        <v>38</v>
      </c>
      <c r="J2376" t="s">
        <v>1777</v>
      </c>
      <c r="K2376" s="9">
        <v>43605</v>
      </c>
      <c r="L2376" s="10">
        <v>0.34027777777777773</v>
      </c>
      <c r="M2376" t="s">
        <v>1778</v>
      </c>
      <c r="N2376" t="s">
        <v>3534</v>
      </c>
      <c r="O2376" t="s">
        <v>22</v>
      </c>
    </row>
    <row r="2377" spans="1:15" hidden="1">
      <c r="A2377" t="s">
        <v>15</v>
      </c>
      <c r="B2377" t="str">
        <f>"FES1162690502"</f>
        <v>FES1162690502</v>
      </c>
      <c r="C2377" s="9">
        <v>43602</v>
      </c>
      <c r="D2377">
        <v>1</v>
      </c>
      <c r="E2377">
        <v>2170685374</v>
      </c>
      <c r="F2377" t="s">
        <v>16</v>
      </c>
      <c r="G2377" t="s">
        <v>17</v>
      </c>
      <c r="H2377" t="s">
        <v>37</v>
      </c>
      <c r="I2377" t="s">
        <v>38</v>
      </c>
      <c r="J2377" t="s">
        <v>39</v>
      </c>
      <c r="K2377" s="9">
        <v>43605</v>
      </c>
      <c r="L2377" s="10">
        <v>0.34375</v>
      </c>
      <c r="M2377" t="s">
        <v>40</v>
      </c>
      <c r="N2377" t="s">
        <v>3535</v>
      </c>
      <c r="O2377" t="s">
        <v>22</v>
      </c>
    </row>
    <row r="2378" spans="1:15" hidden="1">
      <c r="A2378" t="s">
        <v>15</v>
      </c>
      <c r="B2378" t="str">
        <f>"FES1162690520"</f>
        <v>FES1162690520</v>
      </c>
      <c r="C2378" s="9">
        <v>43602</v>
      </c>
      <c r="D2378">
        <v>2</v>
      </c>
      <c r="E2378">
        <v>2170684268</v>
      </c>
      <c r="F2378" t="s">
        <v>58</v>
      </c>
      <c r="G2378" t="s">
        <v>59</v>
      </c>
      <c r="H2378" t="s">
        <v>32</v>
      </c>
      <c r="I2378" t="s">
        <v>33</v>
      </c>
      <c r="J2378" t="s">
        <v>1832</v>
      </c>
      <c r="K2378" s="9">
        <v>43606</v>
      </c>
      <c r="L2378" s="10">
        <v>0.37152777777777773</v>
      </c>
      <c r="M2378" t="s">
        <v>3536</v>
      </c>
      <c r="N2378" t="s">
        <v>3537</v>
      </c>
      <c r="O2378" t="s">
        <v>22</v>
      </c>
    </row>
    <row r="2379" spans="1:15" hidden="1">
      <c r="A2379" t="s">
        <v>15</v>
      </c>
      <c r="B2379" t="str">
        <f>"FES1162690538"</f>
        <v>FES1162690538</v>
      </c>
      <c r="C2379" s="9">
        <v>43602</v>
      </c>
      <c r="D2379">
        <v>1</v>
      </c>
      <c r="E2379">
        <v>2170685963</v>
      </c>
      <c r="F2379" t="s">
        <v>16</v>
      </c>
      <c r="G2379" t="s">
        <v>17</v>
      </c>
      <c r="H2379" t="s">
        <v>43</v>
      </c>
      <c r="I2379" t="s">
        <v>44</v>
      </c>
      <c r="J2379" t="s">
        <v>48</v>
      </c>
      <c r="K2379" s="9">
        <v>43605</v>
      </c>
      <c r="L2379" s="10">
        <v>0.32430555555555557</v>
      </c>
      <c r="M2379" t="s">
        <v>3538</v>
      </c>
      <c r="N2379" t="s">
        <v>3539</v>
      </c>
      <c r="O2379" t="s">
        <v>22</v>
      </c>
    </row>
    <row r="2380" spans="1:15" hidden="1">
      <c r="A2380" t="s">
        <v>15</v>
      </c>
      <c r="B2380" t="str">
        <f>"FES1162690539"</f>
        <v>FES1162690539</v>
      </c>
      <c r="C2380" s="9">
        <v>43602</v>
      </c>
      <c r="D2380">
        <v>1</v>
      </c>
      <c r="E2380">
        <v>2170688614</v>
      </c>
      <c r="F2380" t="s">
        <v>16</v>
      </c>
      <c r="G2380" t="s">
        <v>17</v>
      </c>
      <c r="H2380" t="s">
        <v>43</v>
      </c>
      <c r="I2380" t="s">
        <v>44</v>
      </c>
      <c r="J2380" t="s">
        <v>336</v>
      </c>
      <c r="K2380" s="9">
        <v>43605</v>
      </c>
      <c r="L2380" s="10">
        <v>0.36527777777777781</v>
      </c>
      <c r="M2380" t="s">
        <v>2540</v>
      </c>
      <c r="N2380" t="s">
        <v>3540</v>
      </c>
      <c r="O2380" t="s">
        <v>22</v>
      </c>
    </row>
    <row r="2381" spans="1:15" hidden="1">
      <c r="A2381" s="14" t="s">
        <v>15</v>
      </c>
      <c r="B2381" s="14" t="str">
        <f>"009938576434"</f>
        <v>009938576434</v>
      </c>
      <c r="C2381" s="15">
        <v>43602</v>
      </c>
      <c r="D2381" s="14">
        <v>1</v>
      </c>
      <c r="E2381" s="14" t="s">
        <v>3541</v>
      </c>
      <c r="F2381" s="14" t="s">
        <v>58</v>
      </c>
      <c r="G2381" s="14" t="s">
        <v>132</v>
      </c>
      <c r="H2381" s="14" t="s">
        <v>43</v>
      </c>
      <c r="I2381" s="14" t="s">
        <v>75</v>
      </c>
      <c r="J2381" s="14" t="s">
        <v>3542</v>
      </c>
      <c r="K2381" s="15">
        <v>43605</v>
      </c>
      <c r="L2381" s="16">
        <v>0.60902777777777783</v>
      </c>
      <c r="M2381" s="14" t="s">
        <v>2892</v>
      </c>
      <c r="N2381" s="14" t="s">
        <v>21</v>
      </c>
      <c r="O2381" s="14" t="s">
        <v>22</v>
      </c>
    </row>
    <row r="2382" spans="1:15">
      <c r="A2382" s="6" t="s">
        <v>15</v>
      </c>
      <c r="B2382" s="6" t="str">
        <f>"019911311353"</f>
        <v>019911311353</v>
      </c>
      <c r="C2382" s="7">
        <v>43602</v>
      </c>
      <c r="D2382" s="6">
        <v>1</v>
      </c>
      <c r="E2382" s="6">
        <v>1703</v>
      </c>
      <c r="F2382" s="6" t="s">
        <v>1433</v>
      </c>
      <c r="G2382" s="6" t="s">
        <v>43</v>
      </c>
      <c r="H2382" s="6" t="s">
        <v>17</v>
      </c>
      <c r="I2382" s="6" t="s">
        <v>64</v>
      </c>
      <c r="J2382" s="6" t="s">
        <v>1062</v>
      </c>
      <c r="K2382" s="7">
        <v>43605</v>
      </c>
      <c r="L2382" s="8">
        <v>0.34375</v>
      </c>
      <c r="M2382" s="6" t="s">
        <v>2037</v>
      </c>
      <c r="N2382" s="6" t="s">
        <v>21</v>
      </c>
      <c r="O2382" s="6" t="s">
        <v>22</v>
      </c>
    </row>
    <row r="2383" spans="1:15">
      <c r="A2383" s="3" t="s">
        <v>15</v>
      </c>
      <c r="B2383" s="3" t="str">
        <f>"FES1162690596"</f>
        <v>FES1162690596</v>
      </c>
      <c r="C2383" s="4">
        <v>43605</v>
      </c>
      <c r="D2383" s="3">
        <v>1</v>
      </c>
      <c r="E2383" s="3">
        <v>2170689055</v>
      </c>
      <c r="F2383" s="3" t="s">
        <v>16</v>
      </c>
      <c r="G2383" s="3" t="s">
        <v>17</v>
      </c>
      <c r="H2383" s="3" t="s">
        <v>17</v>
      </c>
      <c r="I2383" s="3" t="s">
        <v>64</v>
      </c>
      <c r="J2383" s="3" t="s">
        <v>98</v>
      </c>
      <c r="K2383" s="4">
        <v>43606</v>
      </c>
      <c r="L2383" s="5">
        <v>0.39166666666666666</v>
      </c>
      <c r="M2383" s="3" t="s">
        <v>694</v>
      </c>
      <c r="N2383" s="3" t="s">
        <v>21</v>
      </c>
      <c r="O2383" s="3" t="s">
        <v>22</v>
      </c>
    </row>
    <row r="2384" spans="1:15">
      <c r="A2384" s="6" t="s">
        <v>15</v>
      </c>
      <c r="B2384" s="6" t="str">
        <f>"FES1162690571"</f>
        <v>FES1162690571</v>
      </c>
      <c r="C2384" s="7">
        <v>43605</v>
      </c>
      <c r="D2384" s="6">
        <v>1</v>
      </c>
      <c r="E2384" s="6">
        <v>2170689047</v>
      </c>
      <c r="F2384" s="6" t="s">
        <v>16</v>
      </c>
      <c r="G2384" s="6" t="s">
        <v>17</v>
      </c>
      <c r="H2384" s="6" t="s">
        <v>17</v>
      </c>
      <c r="I2384" s="6" t="s">
        <v>148</v>
      </c>
      <c r="J2384" s="6" t="s">
        <v>419</v>
      </c>
      <c r="K2384" s="7">
        <v>43606</v>
      </c>
      <c r="L2384" s="8">
        <v>0.4236111111111111</v>
      </c>
      <c r="M2384" s="6" t="s">
        <v>996</v>
      </c>
      <c r="N2384" s="6" t="s">
        <v>21</v>
      </c>
      <c r="O2384" s="6" t="s">
        <v>22</v>
      </c>
    </row>
    <row r="2385" spans="1:15">
      <c r="A2385" s="6" t="s">
        <v>15</v>
      </c>
      <c r="B2385" s="6" t="str">
        <f>"R009935723240"</f>
        <v>R009935723240</v>
      </c>
      <c r="C2385" s="7">
        <v>43605</v>
      </c>
      <c r="D2385" s="6">
        <v>1</v>
      </c>
      <c r="E2385" s="6" t="s">
        <v>3543</v>
      </c>
      <c r="F2385" s="6" t="s">
        <v>16</v>
      </c>
      <c r="G2385" s="6" t="s">
        <v>525</v>
      </c>
      <c r="H2385" s="6" t="s">
        <v>17</v>
      </c>
      <c r="I2385" s="6" t="s">
        <v>64</v>
      </c>
      <c r="J2385" s="6" t="s">
        <v>476</v>
      </c>
      <c r="K2385" s="7">
        <v>43606</v>
      </c>
      <c r="L2385" s="8">
        <v>0.3520833333333333</v>
      </c>
      <c r="M2385" s="6" t="s">
        <v>477</v>
      </c>
      <c r="N2385" s="6" t="s">
        <v>21</v>
      </c>
      <c r="O2385" s="6" t="s">
        <v>2125</v>
      </c>
    </row>
    <row r="2386" spans="1:15">
      <c r="A2386" s="6" t="s">
        <v>15</v>
      </c>
      <c r="B2386" s="6" t="str">
        <f>"FES1162688975"</f>
        <v>FES1162688975</v>
      </c>
      <c r="C2386" s="7">
        <v>43605</v>
      </c>
      <c r="D2386" s="6">
        <v>1</v>
      </c>
      <c r="E2386" s="6">
        <v>2170687561</v>
      </c>
      <c r="F2386" s="6" t="s">
        <v>16</v>
      </c>
      <c r="G2386" s="6" t="s">
        <v>17</v>
      </c>
      <c r="H2386" s="6" t="s">
        <v>17</v>
      </c>
      <c r="I2386" s="6" t="s">
        <v>1984</v>
      </c>
      <c r="J2386" s="6" t="s">
        <v>2605</v>
      </c>
      <c r="K2386" s="7">
        <v>43606</v>
      </c>
      <c r="L2386" s="8">
        <v>0.33333333333333331</v>
      </c>
      <c r="M2386" s="6" t="s">
        <v>3544</v>
      </c>
      <c r="N2386" s="6" t="s">
        <v>21</v>
      </c>
      <c r="O2386" s="6" t="s">
        <v>22</v>
      </c>
    </row>
    <row r="2387" spans="1:15" hidden="1">
      <c r="A2387" t="s">
        <v>15</v>
      </c>
      <c r="B2387" t="str">
        <f>"FES1162690579"</f>
        <v>FES1162690579</v>
      </c>
      <c r="C2387" s="9">
        <v>43605</v>
      </c>
      <c r="D2387">
        <v>1</v>
      </c>
      <c r="E2387">
        <v>2170689065</v>
      </c>
      <c r="F2387" t="s">
        <v>16</v>
      </c>
      <c r="G2387" t="s">
        <v>17</v>
      </c>
      <c r="H2387" t="s">
        <v>43</v>
      </c>
      <c r="I2387" t="s">
        <v>44</v>
      </c>
      <c r="J2387" t="s">
        <v>591</v>
      </c>
      <c r="K2387" s="9">
        <v>43606</v>
      </c>
      <c r="L2387" s="10">
        <v>0.32777777777777778</v>
      </c>
      <c r="M2387" t="s">
        <v>3545</v>
      </c>
      <c r="N2387" t="s">
        <v>3546</v>
      </c>
      <c r="O2387" t="s">
        <v>22</v>
      </c>
    </row>
    <row r="2388" spans="1:15" hidden="1">
      <c r="A2388" t="s">
        <v>15</v>
      </c>
      <c r="B2388" t="str">
        <f>"FES1162690624"</f>
        <v>FES1162690624</v>
      </c>
      <c r="C2388" s="9">
        <v>43605</v>
      </c>
      <c r="D2388">
        <v>1</v>
      </c>
      <c r="E2388">
        <v>2170689104</v>
      </c>
      <c r="F2388" t="s">
        <v>16</v>
      </c>
      <c r="G2388" t="s">
        <v>17</v>
      </c>
      <c r="H2388" t="s">
        <v>141</v>
      </c>
      <c r="I2388" t="s">
        <v>142</v>
      </c>
      <c r="J2388" t="s">
        <v>228</v>
      </c>
      <c r="K2388" s="9">
        <v>43606</v>
      </c>
      <c r="L2388" s="10">
        <v>0.35486111111111113</v>
      </c>
      <c r="M2388" t="s">
        <v>229</v>
      </c>
      <c r="N2388" t="s">
        <v>3547</v>
      </c>
      <c r="O2388" t="s">
        <v>22</v>
      </c>
    </row>
    <row r="2389" spans="1:15">
      <c r="A2389" s="6" t="s">
        <v>15</v>
      </c>
      <c r="B2389" s="6" t="str">
        <f>"FES1162690597"</f>
        <v>FES1162690597</v>
      </c>
      <c r="C2389" s="7">
        <v>43605</v>
      </c>
      <c r="D2389" s="6">
        <v>1</v>
      </c>
      <c r="E2389" s="6">
        <v>2170689062</v>
      </c>
      <c r="F2389" s="6" t="s">
        <v>16</v>
      </c>
      <c r="G2389" s="6" t="s">
        <v>17</v>
      </c>
      <c r="H2389" s="6" t="s">
        <v>17</v>
      </c>
      <c r="I2389" s="6" t="s">
        <v>64</v>
      </c>
      <c r="J2389" s="6" t="s">
        <v>1361</v>
      </c>
      <c r="K2389" s="7">
        <v>43606</v>
      </c>
      <c r="L2389" s="8">
        <v>0.3888888888888889</v>
      </c>
      <c r="M2389" s="6" t="s">
        <v>3548</v>
      </c>
      <c r="N2389" s="6" t="s">
        <v>21</v>
      </c>
      <c r="O2389" s="6" t="s">
        <v>22</v>
      </c>
    </row>
    <row r="2390" spans="1:15">
      <c r="A2390" s="6" t="s">
        <v>15</v>
      </c>
      <c r="B2390" s="6" t="str">
        <f>"FES1162690545"</f>
        <v>FES1162690545</v>
      </c>
      <c r="C2390" s="7">
        <v>43605</v>
      </c>
      <c r="D2390" s="6">
        <v>1</v>
      </c>
      <c r="E2390" s="6">
        <v>2170687764</v>
      </c>
      <c r="F2390" s="6" t="s">
        <v>16</v>
      </c>
      <c r="G2390" s="6" t="s">
        <v>17</v>
      </c>
      <c r="H2390" s="6" t="s">
        <v>17</v>
      </c>
      <c r="I2390" s="6" t="s">
        <v>64</v>
      </c>
      <c r="J2390" s="6" t="s">
        <v>509</v>
      </c>
      <c r="K2390" s="7">
        <v>43606</v>
      </c>
      <c r="L2390" s="8">
        <v>0.39583333333333331</v>
      </c>
      <c r="M2390" s="6" t="s">
        <v>481</v>
      </c>
      <c r="N2390" s="6" t="s">
        <v>21</v>
      </c>
      <c r="O2390" s="6" t="s">
        <v>22</v>
      </c>
    </row>
    <row r="2391" spans="1:15">
      <c r="A2391" s="6" t="s">
        <v>15</v>
      </c>
      <c r="B2391" s="6" t="str">
        <f>"FES1162690557"</f>
        <v>FES1162690557</v>
      </c>
      <c r="C2391" s="7">
        <v>43605</v>
      </c>
      <c r="D2391" s="6">
        <v>1</v>
      </c>
      <c r="E2391" s="6">
        <v>2170689028</v>
      </c>
      <c r="F2391" s="6" t="s">
        <v>16</v>
      </c>
      <c r="G2391" s="6" t="s">
        <v>17</v>
      </c>
      <c r="H2391" s="6" t="s">
        <v>17</v>
      </c>
      <c r="I2391" s="6" t="s">
        <v>1376</v>
      </c>
      <c r="J2391" s="6" t="s">
        <v>3549</v>
      </c>
      <c r="K2391" s="7">
        <v>43606</v>
      </c>
      <c r="L2391" s="8">
        <v>0.33333333333333331</v>
      </c>
      <c r="M2391" s="6" t="s">
        <v>3550</v>
      </c>
      <c r="N2391" s="6" t="s">
        <v>21</v>
      </c>
      <c r="O2391" s="6" t="s">
        <v>22</v>
      </c>
    </row>
    <row r="2392" spans="1:15">
      <c r="A2392" s="6" t="s">
        <v>15</v>
      </c>
      <c r="B2392" s="6" t="str">
        <f>"FES1162690547"</f>
        <v>FES1162690547</v>
      </c>
      <c r="C2392" s="7">
        <v>43605</v>
      </c>
      <c r="D2392" s="6">
        <v>1</v>
      </c>
      <c r="E2392" s="6">
        <v>2170687931</v>
      </c>
      <c r="F2392" s="6" t="s">
        <v>16</v>
      </c>
      <c r="G2392" s="6" t="s">
        <v>17</v>
      </c>
      <c r="H2392" s="6" t="s">
        <v>17</v>
      </c>
      <c r="I2392" s="6" t="s">
        <v>103</v>
      </c>
      <c r="J2392" s="6" t="s">
        <v>3551</v>
      </c>
      <c r="K2392" s="7">
        <v>43606</v>
      </c>
      <c r="L2392" s="8">
        <v>0.4236111111111111</v>
      </c>
      <c r="M2392" s="6" t="s">
        <v>325</v>
      </c>
      <c r="N2392" s="6" t="s">
        <v>21</v>
      </c>
      <c r="O2392" s="6" t="s">
        <v>22</v>
      </c>
    </row>
    <row r="2393" spans="1:15">
      <c r="A2393" s="6" t="s">
        <v>15</v>
      </c>
      <c r="B2393" s="6" t="str">
        <f>"FES1162690576"</f>
        <v>FES1162690576</v>
      </c>
      <c r="C2393" s="7">
        <v>43605</v>
      </c>
      <c r="D2393" s="6">
        <v>1</v>
      </c>
      <c r="E2393" s="6">
        <v>2170689058</v>
      </c>
      <c r="F2393" s="6" t="s">
        <v>16</v>
      </c>
      <c r="G2393" s="6" t="s">
        <v>17</v>
      </c>
      <c r="H2393" s="6" t="s">
        <v>17</v>
      </c>
      <c r="I2393" s="6" t="s">
        <v>103</v>
      </c>
      <c r="J2393" s="6" t="s">
        <v>616</v>
      </c>
      <c r="K2393" s="7">
        <v>43606</v>
      </c>
      <c r="L2393" s="8">
        <v>0.4375</v>
      </c>
      <c r="M2393" s="6" t="s">
        <v>325</v>
      </c>
      <c r="N2393" s="6" t="s">
        <v>21</v>
      </c>
      <c r="O2393" s="6" t="s">
        <v>22</v>
      </c>
    </row>
    <row r="2394" spans="1:15">
      <c r="A2394" s="6" t="s">
        <v>15</v>
      </c>
      <c r="B2394" s="6" t="str">
        <f>"FES1162690595"</f>
        <v>FES1162690595</v>
      </c>
      <c r="C2394" s="7">
        <v>43605</v>
      </c>
      <c r="D2394" s="6">
        <v>1</v>
      </c>
      <c r="E2394" s="6">
        <v>2170689051</v>
      </c>
      <c r="F2394" s="6" t="s">
        <v>16</v>
      </c>
      <c r="G2394" s="6" t="s">
        <v>17</v>
      </c>
      <c r="H2394" s="6" t="s">
        <v>17</v>
      </c>
      <c r="I2394" s="6" t="s">
        <v>64</v>
      </c>
      <c r="J2394" s="6" t="s">
        <v>98</v>
      </c>
      <c r="K2394" s="7">
        <v>43606</v>
      </c>
      <c r="L2394" s="8">
        <v>0.38819444444444445</v>
      </c>
      <c r="M2394" s="6" t="s">
        <v>694</v>
      </c>
      <c r="N2394" s="6" t="s">
        <v>21</v>
      </c>
      <c r="O2394" s="6" t="s">
        <v>22</v>
      </c>
    </row>
    <row r="2395" spans="1:15" hidden="1">
      <c r="A2395" t="s">
        <v>15</v>
      </c>
      <c r="B2395" t="str">
        <f>"FES1162690611"</f>
        <v>FES1162690611</v>
      </c>
      <c r="C2395" s="9">
        <v>43605</v>
      </c>
      <c r="D2395">
        <v>1</v>
      </c>
      <c r="E2395">
        <v>2170689096</v>
      </c>
      <c r="F2395" t="s">
        <v>16</v>
      </c>
      <c r="G2395" t="s">
        <v>17</v>
      </c>
      <c r="H2395" t="s">
        <v>290</v>
      </c>
      <c r="I2395" t="s">
        <v>291</v>
      </c>
      <c r="J2395" t="s">
        <v>1187</v>
      </c>
      <c r="K2395" s="9">
        <v>43606</v>
      </c>
      <c r="L2395" s="10">
        <v>0.3923611111111111</v>
      </c>
      <c r="M2395" t="s">
        <v>2560</v>
      </c>
      <c r="N2395" t="s">
        <v>3552</v>
      </c>
      <c r="O2395" t="s">
        <v>22</v>
      </c>
    </row>
    <row r="2396" spans="1:15" hidden="1">
      <c r="A2396" t="s">
        <v>15</v>
      </c>
      <c r="B2396" t="str">
        <f>"FES1162690562"</f>
        <v>FES1162690562</v>
      </c>
      <c r="C2396" s="9">
        <v>43605</v>
      </c>
      <c r="D2396">
        <v>1</v>
      </c>
      <c r="E2396">
        <v>2170689035</v>
      </c>
      <c r="F2396" t="s">
        <v>16</v>
      </c>
      <c r="G2396" t="s">
        <v>17</v>
      </c>
      <c r="H2396" t="s">
        <v>290</v>
      </c>
      <c r="I2396" t="s">
        <v>291</v>
      </c>
      <c r="J2396" t="s">
        <v>3051</v>
      </c>
      <c r="K2396" s="9">
        <v>43606</v>
      </c>
      <c r="L2396" s="10">
        <v>0.60416666666666663</v>
      </c>
      <c r="M2396" t="s">
        <v>3553</v>
      </c>
      <c r="N2396" t="s">
        <v>3554</v>
      </c>
      <c r="O2396" t="s">
        <v>22</v>
      </c>
    </row>
    <row r="2397" spans="1:15">
      <c r="A2397" s="6" t="s">
        <v>15</v>
      </c>
      <c r="B2397" s="6" t="str">
        <f>"FES1162690544"</f>
        <v>FES1162690544</v>
      </c>
      <c r="C2397" s="7">
        <v>43605</v>
      </c>
      <c r="D2397" s="6">
        <v>1</v>
      </c>
      <c r="E2397" s="6">
        <v>2170687532</v>
      </c>
      <c r="F2397" s="6" t="s">
        <v>16</v>
      </c>
      <c r="G2397" s="6" t="s">
        <v>17</v>
      </c>
      <c r="H2397" s="6" t="s">
        <v>17</v>
      </c>
      <c r="I2397" s="6" t="s">
        <v>23</v>
      </c>
      <c r="J2397" s="6" t="s">
        <v>479</v>
      </c>
      <c r="K2397" s="7">
        <v>43606</v>
      </c>
      <c r="L2397" s="8">
        <v>0.4375</v>
      </c>
      <c r="M2397" s="6" t="s">
        <v>1969</v>
      </c>
      <c r="N2397" s="6" t="s">
        <v>21</v>
      </c>
      <c r="O2397" s="6" t="s">
        <v>22</v>
      </c>
    </row>
    <row r="2398" spans="1:15">
      <c r="A2398" s="6" t="s">
        <v>15</v>
      </c>
      <c r="B2398" s="6" t="str">
        <f>"FES1162690546"</f>
        <v>FES1162690546</v>
      </c>
      <c r="C2398" s="7">
        <v>43605</v>
      </c>
      <c r="D2398" s="6">
        <v>1</v>
      </c>
      <c r="E2398" s="6">
        <v>2170687900</v>
      </c>
      <c r="F2398" s="6" t="s">
        <v>16</v>
      </c>
      <c r="G2398" s="6" t="s">
        <v>17</v>
      </c>
      <c r="H2398" s="6" t="s">
        <v>17</v>
      </c>
      <c r="I2398" s="6" t="s">
        <v>103</v>
      </c>
      <c r="J2398" s="6" t="s">
        <v>3555</v>
      </c>
      <c r="K2398" s="7">
        <v>43606</v>
      </c>
      <c r="L2398" s="8">
        <v>0.4375</v>
      </c>
      <c r="M2398" s="6" t="s">
        <v>3556</v>
      </c>
      <c r="N2398" s="6" t="s">
        <v>21</v>
      </c>
      <c r="O2398" s="6" t="s">
        <v>22</v>
      </c>
    </row>
    <row r="2399" spans="1:15" hidden="1">
      <c r="A2399" t="s">
        <v>15</v>
      </c>
      <c r="B2399" t="str">
        <f>"FES1162690622"</f>
        <v>FES1162690622</v>
      </c>
      <c r="C2399" s="9">
        <v>43605</v>
      </c>
      <c r="D2399">
        <v>1</v>
      </c>
      <c r="E2399">
        <v>2170689099</v>
      </c>
      <c r="F2399" t="s">
        <v>16</v>
      </c>
      <c r="G2399" t="s">
        <v>17</v>
      </c>
      <c r="H2399" t="s">
        <v>300</v>
      </c>
      <c r="I2399" t="s">
        <v>1553</v>
      </c>
      <c r="J2399" t="s">
        <v>3557</v>
      </c>
      <c r="K2399" s="9">
        <v>43607</v>
      </c>
      <c r="L2399" s="10">
        <v>0.43055555555555558</v>
      </c>
      <c r="M2399" t="s">
        <v>3558</v>
      </c>
      <c r="N2399" t="s">
        <v>3559</v>
      </c>
      <c r="O2399" t="s">
        <v>22</v>
      </c>
    </row>
    <row r="2400" spans="1:15" hidden="1">
      <c r="A2400" t="s">
        <v>15</v>
      </c>
      <c r="B2400" t="str">
        <f>"FES1162690639"</f>
        <v>FES1162690639</v>
      </c>
      <c r="C2400" s="9">
        <v>43605</v>
      </c>
      <c r="D2400">
        <v>1</v>
      </c>
      <c r="E2400">
        <v>2170689120</v>
      </c>
      <c r="F2400" t="s">
        <v>16</v>
      </c>
      <c r="G2400" t="s">
        <v>17</v>
      </c>
      <c r="H2400" t="s">
        <v>37</v>
      </c>
      <c r="I2400" t="s">
        <v>38</v>
      </c>
      <c r="J2400" t="s">
        <v>766</v>
      </c>
      <c r="K2400" s="9">
        <v>43606</v>
      </c>
      <c r="L2400" s="10">
        <v>0.3611111111111111</v>
      </c>
      <c r="M2400" t="s">
        <v>1247</v>
      </c>
      <c r="N2400" t="s">
        <v>3560</v>
      </c>
      <c r="O2400" t="s">
        <v>22</v>
      </c>
    </row>
    <row r="2401" spans="1:15">
      <c r="A2401" s="6" t="s">
        <v>15</v>
      </c>
      <c r="B2401" s="6" t="str">
        <f>"FES1162690607"</f>
        <v>FES1162690607</v>
      </c>
      <c r="C2401" s="7">
        <v>43605</v>
      </c>
      <c r="D2401" s="6">
        <v>1</v>
      </c>
      <c r="E2401" s="6">
        <v>2170689093</v>
      </c>
      <c r="F2401" s="6" t="s">
        <v>16</v>
      </c>
      <c r="G2401" s="6" t="s">
        <v>17</v>
      </c>
      <c r="H2401" s="6" t="s">
        <v>17</v>
      </c>
      <c r="I2401" s="6" t="s">
        <v>414</v>
      </c>
      <c r="J2401" s="6" t="s">
        <v>1083</v>
      </c>
      <c r="K2401" s="7">
        <v>43606</v>
      </c>
      <c r="L2401" s="8">
        <v>0.4375</v>
      </c>
      <c r="M2401" s="6" t="s">
        <v>3561</v>
      </c>
      <c r="N2401" s="6" t="s">
        <v>21</v>
      </c>
      <c r="O2401" s="6" t="s">
        <v>22</v>
      </c>
    </row>
    <row r="2402" spans="1:15">
      <c r="A2402" s="6" t="s">
        <v>15</v>
      </c>
      <c r="B2402" s="6" t="str">
        <f>"FES1162690612"</f>
        <v>FES1162690612</v>
      </c>
      <c r="C2402" s="7">
        <v>43605</v>
      </c>
      <c r="D2402" s="6">
        <v>1</v>
      </c>
      <c r="E2402" s="6">
        <v>2170689097</v>
      </c>
      <c r="F2402" s="6" t="s">
        <v>16</v>
      </c>
      <c r="G2402" s="6" t="s">
        <v>17</v>
      </c>
      <c r="H2402" s="6" t="s">
        <v>17</v>
      </c>
      <c r="I2402" s="6" t="s">
        <v>148</v>
      </c>
      <c r="J2402" s="6" t="s">
        <v>164</v>
      </c>
      <c r="K2402" s="7">
        <v>43606</v>
      </c>
      <c r="L2402" s="8">
        <v>0.36805555555555558</v>
      </c>
      <c r="M2402" s="6" t="s">
        <v>3404</v>
      </c>
      <c r="N2402" s="6" t="s">
        <v>21</v>
      </c>
      <c r="O2402" s="6" t="s">
        <v>22</v>
      </c>
    </row>
    <row r="2403" spans="1:15">
      <c r="A2403" s="6" t="s">
        <v>15</v>
      </c>
      <c r="B2403" s="6" t="str">
        <f>"FES1162690600"</f>
        <v>FES1162690600</v>
      </c>
      <c r="C2403" s="7">
        <v>43605</v>
      </c>
      <c r="D2403" s="6">
        <v>1</v>
      </c>
      <c r="E2403" s="6">
        <v>2170689085</v>
      </c>
      <c r="F2403" s="6" t="s">
        <v>16</v>
      </c>
      <c r="G2403" s="6" t="s">
        <v>17</v>
      </c>
      <c r="H2403" s="6" t="s">
        <v>17</v>
      </c>
      <c r="I2403" s="6" t="s">
        <v>18</v>
      </c>
      <c r="J2403" s="6" t="s">
        <v>19</v>
      </c>
      <c r="K2403" s="7">
        <v>43606</v>
      </c>
      <c r="L2403" s="8">
        <v>0.41944444444444445</v>
      </c>
      <c r="M2403" s="6" t="s">
        <v>2039</v>
      </c>
      <c r="N2403" s="6" t="s">
        <v>21</v>
      </c>
      <c r="O2403" s="6" t="s">
        <v>22</v>
      </c>
    </row>
    <row r="2404" spans="1:15" hidden="1">
      <c r="A2404" t="s">
        <v>15</v>
      </c>
      <c r="B2404" t="str">
        <f>"FES1162690636"</f>
        <v>FES1162690636</v>
      </c>
      <c r="C2404" s="9">
        <v>43605</v>
      </c>
      <c r="D2404">
        <v>1</v>
      </c>
      <c r="E2404">
        <v>2170689117</v>
      </c>
      <c r="F2404" t="s">
        <v>16</v>
      </c>
      <c r="G2404" t="s">
        <v>17</v>
      </c>
      <c r="H2404" t="s">
        <v>132</v>
      </c>
      <c r="I2404" t="s">
        <v>133</v>
      </c>
      <c r="J2404" t="s">
        <v>189</v>
      </c>
      <c r="K2404" s="9">
        <v>43606</v>
      </c>
      <c r="L2404" s="10">
        <v>0.4375</v>
      </c>
      <c r="M2404" t="s">
        <v>190</v>
      </c>
      <c r="N2404" t="s">
        <v>3562</v>
      </c>
      <c r="O2404" t="s">
        <v>22</v>
      </c>
    </row>
    <row r="2405" spans="1:15">
      <c r="A2405" s="6" t="s">
        <v>15</v>
      </c>
      <c r="B2405" s="6" t="str">
        <f>"FES1162690540"</f>
        <v>FES1162690540</v>
      </c>
      <c r="C2405" s="7">
        <v>43605</v>
      </c>
      <c r="D2405" s="6">
        <v>3</v>
      </c>
      <c r="E2405" s="6">
        <v>2170684782</v>
      </c>
      <c r="F2405" s="6" t="s">
        <v>16</v>
      </c>
      <c r="G2405" s="6" t="s">
        <v>17</v>
      </c>
      <c r="H2405" s="6" t="s">
        <v>17</v>
      </c>
      <c r="I2405" s="6" t="s">
        <v>18</v>
      </c>
      <c r="J2405" s="6" t="s">
        <v>2032</v>
      </c>
      <c r="K2405" s="7">
        <v>43606</v>
      </c>
      <c r="L2405" s="8">
        <v>0.3888888888888889</v>
      </c>
      <c r="M2405" s="6" t="s">
        <v>3563</v>
      </c>
      <c r="N2405" s="6" t="s">
        <v>21</v>
      </c>
      <c r="O2405" s="6" t="s">
        <v>22</v>
      </c>
    </row>
    <row r="2406" spans="1:15" hidden="1">
      <c r="A2406" t="s">
        <v>15</v>
      </c>
      <c r="B2406" t="str">
        <f>"FES1162690652"</f>
        <v>FES1162690652</v>
      </c>
      <c r="C2406" s="9">
        <v>43605</v>
      </c>
      <c r="D2406">
        <v>1</v>
      </c>
      <c r="E2406">
        <v>2170689145</v>
      </c>
      <c r="F2406" t="s">
        <v>16</v>
      </c>
      <c r="G2406" t="s">
        <v>17</v>
      </c>
      <c r="H2406" t="s">
        <v>132</v>
      </c>
      <c r="I2406" t="s">
        <v>838</v>
      </c>
      <c r="J2406" t="s">
        <v>839</v>
      </c>
      <c r="K2406" s="9">
        <v>43606</v>
      </c>
      <c r="L2406" s="10">
        <v>0.45833333333333331</v>
      </c>
      <c r="M2406" t="s">
        <v>3564</v>
      </c>
      <c r="N2406" t="s">
        <v>3565</v>
      </c>
      <c r="O2406" t="s">
        <v>22</v>
      </c>
    </row>
    <row r="2407" spans="1:15">
      <c r="A2407" s="6" t="s">
        <v>15</v>
      </c>
      <c r="B2407" s="6" t="str">
        <f>"FES1162690601"</f>
        <v>FES1162690601</v>
      </c>
      <c r="C2407" s="7">
        <v>43605</v>
      </c>
      <c r="D2407" s="6">
        <v>1</v>
      </c>
      <c r="E2407" s="6">
        <v>2170689086</v>
      </c>
      <c r="F2407" s="6" t="s">
        <v>16</v>
      </c>
      <c r="G2407" s="6" t="s">
        <v>17</v>
      </c>
      <c r="H2407" s="6" t="s">
        <v>17</v>
      </c>
      <c r="I2407" s="6" t="s">
        <v>18</v>
      </c>
      <c r="J2407" s="6" t="s">
        <v>19</v>
      </c>
      <c r="K2407" s="7">
        <v>43606</v>
      </c>
      <c r="L2407" s="8">
        <v>0.41944444444444445</v>
      </c>
      <c r="M2407" s="6" t="s">
        <v>2039</v>
      </c>
      <c r="N2407" s="6" t="s">
        <v>21</v>
      </c>
      <c r="O2407" s="6" t="s">
        <v>22</v>
      </c>
    </row>
    <row r="2408" spans="1:15" hidden="1">
      <c r="A2408" t="s">
        <v>15</v>
      </c>
      <c r="B2408" t="str">
        <f>"FES1162690648"</f>
        <v>FES1162690648</v>
      </c>
      <c r="C2408" s="9">
        <v>43605</v>
      </c>
      <c r="D2408">
        <v>1</v>
      </c>
      <c r="E2408">
        <v>2170689139</v>
      </c>
      <c r="F2408" t="s">
        <v>16</v>
      </c>
      <c r="G2408" t="s">
        <v>17</v>
      </c>
      <c r="H2408" t="s">
        <v>32</v>
      </c>
      <c r="I2408" t="s">
        <v>33</v>
      </c>
      <c r="J2408" t="s">
        <v>357</v>
      </c>
      <c r="K2408" s="9">
        <v>43606</v>
      </c>
      <c r="L2408" s="10">
        <v>0.41666666666666669</v>
      </c>
      <c r="M2408" t="s">
        <v>2201</v>
      </c>
      <c r="N2408" t="s">
        <v>3566</v>
      </c>
      <c r="O2408" t="s">
        <v>22</v>
      </c>
    </row>
    <row r="2409" spans="1:15" hidden="1">
      <c r="A2409" t="s">
        <v>15</v>
      </c>
      <c r="B2409" t="str">
        <f>"FES1162690606"</f>
        <v>FES1162690606</v>
      </c>
      <c r="C2409" s="9">
        <v>43605</v>
      </c>
      <c r="D2409">
        <v>1</v>
      </c>
      <c r="E2409">
        <v>2170689092</v>
      </c>
      <c r="F2409" t="s">
        <v>16</v>
      </c>
      <c r="G2409" t="s">
        <v>17</v>
      </c>
      <c r="H2409" t="s">
        <v>425</v>
      </c>
      <c r="I2409" t="s">
        <v>771</v>
      </c>
      <c r="J2409" t="s">
        <v>772</v>
      </c>
      <c r="K2409" s="9">
        <v>43606</v>
      </c>
      <c r="L2409" s="10">
        <v>0.47013888888888888</v>
      </c>
      <c r="M2409" t="s">
        <v>3567</v>
      </c>
      <c r="N2409" t="s">
        <v>3568</v>
      </c>
      <c r="O2409" t="s">
        <v>22</v>
      </c>
    </row>
    <row r="2410" spans="1:15" hidden="1">
      <c r="A2410" t="s">
        <v>15</v>
      </c>
      <c r="B2410" t="str">
        <f>"FES1162690592"</f>
        <v>FES1162690592</v>
      </c>
      <c r="C2410" s="9">
        <v>43605</v>
      </c>
      <c r="D2410">
        <v>1</v>
      </c>
      <c r="E2410">
        <v>2170689082</v>
      </c>
      <c r="F2410" t="s">
        <v>16</v>
      </c>
      <c r="G2410" t="s">
        <v>17</v>
      </c>
      <c r="H2410" t="s">
        <v>141</v>
      </c>
      <c r="I2410" t="s">
        <v>142</v>
      </c>
      <c r="J2410" t="s">
        <v>3569</v>
      </c>
      <c r="K2410" s="9">
        <v>43606</v>
      </c>
      <c r="L2410" s="10">
        <v>0.31805555555555554</v>
      </c>
      <c r="M2410" t="s">
        <v>3570</v>
      </c>
      <c r="N2410" t="s">
        <v>3571</v>
      </c>
      <c r="O2410" t="s">
        <v>22</v>
      </c>
    </row>
    <row r="2411" spans="1:15" hidden="1">
      <c r="A2411" t="s">
        <v>15</v>
      </c>
      <c r="B2411" t="str">
        <f>"FES1162690623"</f>
        <v>FES1162690623</v>
      </c>
      <c r="C2411" s="9">
        <v>43605</v>
      </c>
      <c r="D2411">
        <v>1</v>
      </c>
      <c r="E2411">
        <v>2170689102</v>
      </c>
      <c r="F2411" t="s">
        <v>16</v>
      </c>
      <c r="G2411" t="s">
        <v>17</v>
      </c>
      <c r="H2411" t="s">
        <v>43</v>
      </c>
      <c r="I2411" t="s">
        <v>44</v>
      </c>
      <c r="J2411" t="s">
        <v>399</v>
      </c>
      <c r="K2411" s="9">
        <v>43606</v>
      </c>
      <c r="L2411" s="10">
        <v>0.35972222222222222</v>
      </c>
      <c r="M2411" t="s">
        <v>3572</v>
      </c>
      <c r="N2411" t="s">
        <v>3573</v>
      </c>
      <c r="O2411" t="s">
        <v>22</v>
      </c>
    </row>
    <row r="2412" spans="1:15" hidden="1">
      <c r="A2412" t="s">
        <v>15</v>
      </c>
      <c r="B2412" t="str">
        <f>"FES1162690591"</f>
        <v>FES1162690591</v>
      </c>
      <c r="C2412" s="9">
        <v>43605</v>
      </c>
      <c r="D2412">
        <v>1</v>
      </c>
      <c r="E2412">
        <v>2170689079</v>
      </c>
      <c r="F2412" t="s">
        <v>16</v>
      </c>
      <c r="G2412" t="s">
        <v>17</v>
      </c>
      <c r="H2412" t="s">
        <v>32</v>
      </c>
      <c r="I2412" t="s">
        <v>33</v>
      </c>
      <c r="J2412" t="s">
        <v>365</v>
      </c>
      <c r="K2412" s="9">
        <v>43606</v>
      </c>
      <c r="L2412" s="10">
        <v>0.3888888888888889</v>
      </c>
      <c r="M2412" t="s">
        <v>3574</v>
      </c>
      <c r="N2412" t="s">
        <v>3575</v>
      </c>
      <c r="O2412" t="s">
        <v>22</v>
      </c>
    </row>
    <row r="2413" spans="1:15" hidden="1">
      <c r="A2413" t="s">
        <v>15</v>
      </c>
      <c r="B2413" t="str">
        <f>"FES1162690625"</f>
        <v>FES1162690625</v>
      </c>
      <c r="C2413" s="9">
        <v>43605</v>
      </c>
      <c r="D2413">
        <v>1</v>
      </c>
      <c r="E2413">
        <v>2170689105</v>
      </c>
      <c r="F2413" t="s">
        <v>16</v>
      </c>
      <c r="G2413" t="s">
        <v>17</v>
      </c>
      <c r="H2413" t="s">
        <v>141</v>
      </c>
      <c r="I2413" t="s">
        <v>142</v>
      </c>
      <c r="J2413" t="s">
        <v>228</v>
      </c>
      <c r="K2413" s="9">
        <v>43606</v>
      </c>
      <c r="L2413" s="10">
        <v>0.35555555555555557</v>
      </c>
      <c r="M2413" t="s">
        <v>229</v>
      </c>
      <c r="N2413" t="s">
        <v>3576</v>
      </c>
      <c r="O2413" t="s">
        <v>22</v>
      </c>
    </row>
    <row r="2414" spans="1:15" hidden="1">
      <c r="A2414" t="s">
        <v>15</v>
      </c>
      <c r="B2414" t="str">
        <f>"FES1162690610"</f>
        <v>FES1162690610</v>
      </c>
      <c r="C2414" s="9">
        <v>43605</v>
      </c>
      <c r="D2414">
        <v>1</v>
      </c>
      <c r="E2414">
        <v>2170689094</v>
      </c>
      <c r="F2414" t="s">
        <v>16</v>
      </c>
      <c r="G2414" t="s">
        <v>17</v>
      </c>
      <c r="H2414" t="s">
        <v>141</v>
      </c>
      <c r="I2414" t="s">
        <v>142</v>
      </c>
      <c r="J2414" t="s">
        <v>228</v>
      </c>
      <c r="K2414" s="9">
        <v>43606</v>
      </c>
      <c r="L2414" s="10">
        <v>0.35694444444444445</v>
      </c>
      <c r="M2414" t="s">
        <v>229</v>
      </c>
      <c r="N2414" t="s">
        <v>3577</v>
      </c>
      <c r="O2414" t="s">
        <v>22</v>
      </c>
    </row>
    <row r="2415" spans="1:15">
      <c r="A2415" s="6" t="s">
        <v>15</v>
      </c>
      <c r="B2415" s="6" t="str">
        <f>"FES1162690548"</f>
        <v>FES1162690548</v>
      </c>
      <c r="C2415" s="7">
        <v>43605</v>
      </c>
      <c r="D2415" s="6">
        <v>1</v>
      </c>
      <c r="E2415" s="6">
        <v>2170688797</v>
      </c>
      <c r="F2415" s="6" t="s">
        <v>16</v>
      </c>
      <c r="G2415" s="6" t="s">
        <v>17</v>
      </c>
      <c r="H2415" s="6" t="s">
        <v>17</v>
      </c>
      <c r="I2415" s="6" t="s">
        <v>18</v>
      </c>
      <c r="J2415" s="6" t="s">
        <v>19</v>
      </c>
      <c r="K2415" s="7">
        <v>43606</v>
      </c>
      <c r="L2415" s="8">
        <v>0.41875000000000001</v>
      </c>
      <c r="M2415" s="6" t="s">
        <v>2039</v>
      </c>
      <c r="N2415" s="6" t="s">
        <v>21</v>
      </c>
      <c r="O2415" s="6" t="s">
        <v>22</v>
      </c>
    </row>
    <row r="2416" spans="1:15">
      <c r="A2416" s="6" t="s">
        <v>15</v>
      </c>
      <c r="B2416" s="6" t="str">
        <f>"FES1162690549"</f>
        <v>FES1162690549</v>
      </c>
      <c r="C2416" s="7">
        <v>43605</v>
      </c>
      <c r="D2416" s="6">
        <v>1</v>
      </c>
      <c r="E2416" s="6">
        <v>21706888803</v>
      </c>
      <c r="F2416" s="6" t="s">
        <v>16</v>
      </c>
      <c r="G2416" s="6" t="s">
        <v>17</v>
      </c>
      <c r="H2416" s="6" t="s">
        <v>17</v>
      </c>
      <c r="I2416" s="6" t="s">
        <v>18</v>
      </c>
      <c r="J2416" s="6" t="s">
        <v>19</v>
      </c>
      <c r="K2416" s="7">
        <v>43606</v>
      </c>
      <c r="L2416" s="8">
        <v>0.4201388888888889</v>
      </c>
      <c r="M2416" s="6" t="s">
        <v>2039</v>
      </c>
      <c r="N2416" s="6" t="s">
        <v>21</v>
      </c>
      <c r="O2416" s="6" t="s">
        <v>22</v>
      </c>
    </row>
    <row r="2417" spans="1:15" hidden="1">
      <c r="A2417" t="s">
        <v>15</v>
      </c>
      <c r="B2417" t="str">
        <f>"FES1162690572"</f>
        <v>FES1162690572</v>
      </c>
      <c r="C2417" s="9">
        <v>43605</v>
      </c>
      <c r="D2417">
        <v>1</v>
      </c>
      <c r="E2417">
        <v>2170689049</v>
      </c>
      <c r="F2417" t="s">
        <v>16</v>
      </c>
      <c r="G2417" t="s">
        <v>17</v>
      </c>
      <c r="H2417" t="s">
        <v>32</v>
      </c>
      <c r="I2417" t="s">
        <v>33</v>
      </c>
      <c r="J2417" t="s">
        <v>339</v>
      </c>
      <c r="K2417" s="9">
        <v>43606</v>
      </c>
      <c r="L2417" s="10">
        <v>0.36805555555555558</v>
      </c>
      <c r="M2417" t="s">
        <v>3578</v>
      </c>
      <c r="N2417" t="s">
        <v>3579</v>
      </c>
      <c r="O2417" t="s">
        <v>22</v>
      </c>
    </row>
    <row r="2418" spans="1:15" hidden="1">
      <c r="A2418" t="s">
        <v>15</v>
      </c>
      <c r="B2418" t="str">
        <f>"FES1162690561"</f>
        <v>FES1162690561</v>
      </c>
      <c r="C2418" s="9">
        <v>43605</v>
      </c>
      <c r="D2418">
        <v>1</v>
      </c>
      <c r="E2418">
        <v>2170689034</v>
      </c>
      <c r="F2418" t="s">
        <v>16</v>
      </c>
      <c r="G2418" t="s">
        <v>17</v>
      </c>
      <c r="H2418" t="s">
        <v>32</v>
      </c>
      <c r="I2418" t="s">
        <v>33</v>
      </c>
      <c r="J2418" t="s">
        <v>357</v>
      </c>
      <c r="K2418" s="9">
        <v>43606</v>
      </c>
      <c r="L2418" s="10">
        <v>0.41666666666666669</v>
      </c>
      <c r="M2418" t="s">
        <v>1595</v>
      </c>
      <c r="N2418" t="s">
        <v>3580</v>
      </c>
      <c r="O2418" t="s">
        <v>22</v>
      </c>
    </row>
    <row r="2419" spans="1:15" hidden="1">
      <c r="A2419" t="s">
        <v>15</v>
      </c>
      <c r="B2419" t="str">
        <f>"FES1162690578"</f>
        <v>FES1162690578</v>
      </c>
      <c r="C2419" s="9">
        <v>43605</v>
      </c>
      <c r="D2419">
        <v>1</v>
      </c>
      <c r="E2419">
        <v>2170689061</v>
      </c>
      <c r="F2419" t="s">
        <v>16</v>
      </c>
      <c r="G2419" t="s">
        <v>17</v>
      </c>
      <c r="H2419" t="s">
        <v>141</v>
      </c>
      <c r="I2419" t="s">
        <v>185</v>
      </c>
      <c r="J2419" t="s">
        <v>2006</v>
      </c>
      <c r="K2419" s="9">
        <v>43606</v>
      </c>
      <c r="L2419" s="10">
        <v>0.3576388888888889</v>
      </c>
      <c r="M2419" t="s">
        <v>1272</v>
      </c>
      <c r="N2419" t="s">
        <v>3581</v>
      </c>
      <c r="O2419" t="s">
        <v>22</v>
      </c>
    </row>
    <row r="2420" spans="1:15" hidden="1">
      <c r="A2420" t="s">
        <v>15</v>
      </c>
      <c r="B2420" t="str">
        <f>"FES1162690558"</f>
        <v>FES1162690558</v>
      </c>
      <c r="C2420" s="9">
        <v>43605</v>
      </c>
      <c r="D2420">
        <v>1</v>
      </c>
      <c r="E2420">
        <v>2170689029</v>
      </c>
      <c r="F2420" t="s">
        <v>16</v>
      </c>
      <c r="G2420" t="s">
        <v>17</v>
      </c>
      <c r="H2420" t="s">
        <v>32</v>
      </c>
      <c r="I2420" t="s">
        <v>33</v>
      </c>
      <c r="J2420" t="s">
        <v>1125</v>
      </c>
      <c r="K2420" s="9">
        <v>43606</v>
      </c>
      <c r="L2420" s="10">
        <v>0.39930555555555558</v>
      </c>
      <c r="M2420" t="s">
        <v>1565</v>
      </c>
      <c r="N2420" t="s">
        <v>3582</v>
      </c>
      <c r="O2420" t="s">
        <v>22</v>
      </c>
    </row>
    <row r="2421" spans="1:15" hidden="1">
      <c r="A2421" t="s">
        <v>15</v>
      </c>
      <c r="B2421" t="str">
        <f>"FES1162690569"</f>
        <v>FES1162690569</v>
      </c>
      <c r="C2421" s="9">
        <v>43605</v>
      </c>
      <c r="D2421">
        <v>1</v>
      </c>
      <c r="E2421">
        <v>2170689044</v>
      </c>
      <c r="F2421" t="s">
        <v>16</v>
      </c>
      <c r="G2421" t="s">
        <v>17</v>
      </c>
      <c r="H2421" t="s">
        <v>43</v>
      </c>
      <c r="I2421" t="s">
        <v>75</v>
      </c>
      <c r="J2421" t="s">
        <v>811</v>
      </c>
      <c r="K2421" s="9">
        <v>43606</v>
      </c>
      <c r="L2421" s="10">
        <v>0.47361111111111115</v>
      </c>
      <c r="M2421" t="s">
        <v>1167</v>
      </c>
      <c r="N2421" t="s">
        <v>3583</v>
      </c>
      <c r="O2421" t="s">
        <v>22</v>
      </c>
    </row>
    <row r="2422" spans="1:15" hidden="1">
      <c r="A2422" t="s">
        <v>15</v>
      </c>
      <c r="B2422" t="str">
        <f>"FES1162690609"</f>
        <v>FES1162690609</v>
      </c>
      <c r="C2422" s="9">
        <v>43605</v>
      </c>
      <c r="D2422">
        <v>1</v>
      </c>
      <c r="E2422">
        <v>2170689083</v>
      </c>
      <c r="F2422" t="s">
        <v>16</v>
      </c>
      <c r="G2422" t="s">
        <v>17</v>
      </c>
      <c r="H2422" t="s">
        <v>32</v>
      </c>
      <c r="I2422" t="s">
        <v>33</v>
      </c>
      <c r="J2422" t="s">
        <v>360</v>
      </c>
      <c r="K2422" s="9">
        <v>43606</v>
      </c>
      <c r="L2422" s="10">
        <v>0.38055555555555554</v>
      </c>
      <c r="M2422" t="s">
        <v>793</v>
      </c>
      <c r="N2422" t="s">
        <v>3584</v>
      </c>
      <c r="O2422" t="s">
        <v>22</v>
      </c>
    </row>
    <row r="2423" spans="1:15" hidden="1">
      <c r="A2423" t="s">
        <v>15</v>
      </c>
      <c r="B2423" t="str">
        <f>"FES1162690554"</f>
        <v>FES1162690554</v>
      </c>
      <c r="C2423" s="9">
        <v>43605</v>
      </c>
      <c r="D2423">
        <v>1</v>
      </c>
      <c r="E2423">
        <v>2170689023</v>
      </c>
      <c r="F2423" t="s">
        <v>16</v>
      </c>
      <c r="G2423" t="s">
        <v>17</v>
      </c>
      <c r="H2423" t="s">
        <v>43</v>
      </c>
      <c r="I2423" t="s">
        <v>75</v>
      </c>
      <c r="J2423" t="s">
        <v>2223</v>
      </c>
      <c r="K2423" s="9">
        <v>43606</v>
      </c>
      <c r="L2423" s="10">
        <v>0.4770833333333333</v>
      </c>
      <c r="M2423" t="s">
        <v>2880</v>
      </c>
      <c r="N2423" t="s">
        <v>3585</v>
      </c>
      <c r="O2423" t="s">
        <v>22</v>
      </c>
    </row>
    <row r="2424" spans="1:15" hidden="1">
      <c r="A2424" t="s">
        <v>15</v>
      </c>
      <c r="B2424" t="str">
        <f>"FES1162690577"</f>
        <v>FES1162690577</v>
      </c>
      <c r="C2424" s="9">
        <v>43605</v>
      </c>
      <c r="D2424">
        <v>1</v>
      </c>
      <c r="E2424">
        <v>2170689059</v>
      </c>
      <c r="F2424" t="s">
        <v>16</v>
      </c>
      <c r="G2424" t="s">
        <v>17</v>
      </c>
      <c r="H2424" t="s">
        <v>141</v>
      </c>
      <c r="I2424" t="s">
        <v>448</v>
      </c>
      <c r="J2424" t="s">
        <v>449</v>
      </c>
      <c r="K2424" s="9">
        <v>43606</v>
      </c>
      <c r="L2424" s="10">
        <v>0.3979166666666667</v>
      </c>
      <c r="M2424" t="s">
        <v>3586</v>
      </c>
      <c r="N2424" t="s">
        <v>3587</v>
      </c>
      <c r="O2424" t="s">
        <v>22</v>
      </c>
    </row>
    <row r="2425" spans="1:15" hidden="1">
      <c r="A2425" t="s">
        <v>15</v>
      </c>
      <c r="B2425" t="str">
        <f>"FES1162690593"</f>
        <v>FES1162690593</v>
      </c>
      <c r="C2425" s="9">
        <v>43605</v>
      </c>
      <c r="D2425">
        <v>1</v>
      </c>
      <c r="E2425">
        <v>2170689080</v>
      </c>
      <c r="F2425" t="s">
        <v>16</v>
      </c>
      <c r="G2425" t="s">
        <v>17</v>
      </c>
      <c r="H2425" t="s">
        <v>322</v>
      </c>
      <c r="I2425" t="s">
        <v>618</v>
      </c>
      <c r="J2425" t="s">
        <v>619</v>
      </c>
      <c r="K2425" s="9">
        <v>43606</v>
      </c>
      <c r="L2425" s="10">
        <v>0.41666666666666669</v>
      </c>
      <c r="M2425" t="s">
        <v>620</v>
      </c>
      <c r="N2425" t="s">
        <v>3588</v>
      </c>
      <c r="O2425" t="s">
        <v>22</v>
      </c>
    </row>
    <row r="2426" spans="1:15" hidden="1">
      <c r="A2426" t="s">
        <v>15</v>
      </c>
      <c r="B2426" t="str">
        <f>"FES1162690564"</f>
        <v>FES1162690564</v>
      </c>
      <c r="C2426" s="9">
        <v>43605</v>
      </c>
      <c r="D2426">
        <v>1</v>
      </c>
      <c r="E2426">
        <v>2170689037</v>
      </c>
      <c r="F2426" t="s">
        <v>16</v>
      </c>
      <c r="G2426" t="s">
        <v>17</v>
      </c>
      <c r="H2426" t="s">
        <v>32</v>
      </c>
      <c r="I2426" t="s">
        <v>33</v>
      </c>
      <c r="J2426" t="s">
        <v>365</v>
      </c>
      <c r="K2426" s="9">
        <v>43606</v>
      </c>
      <c r="L2426" s="10">
        <v>0.3888888888888889</v>
      </c>
      <c r="M2426" t="s">
        <v>3574</v>
      </c>
      <c r="N2426" t="s">
        <v>3589</v>
      </c>
      <c r="O2426" t="s">
        <v>22</v>
      </c>
    </row>
    <row r="2427" spans="1:15" hidden="1">
      <c r="A2427" t="s">
        <v>15</v>
      </c>
      <c r="B2427" t="str">
        <f>"FES1162690613"</f>
        <v>FES1162690613</v>
      </c>
      <c r="C2427" s="9">
        <v>43605</v>
      </c>
      <c r="D2427">
        <v>1</v>
      </c>
      <c r="E2427">
        <v>2170689098</v>
      </c>
      <c r="F2427" t="s">
        <v>16</v>
      </c>
      <c r="G2427" t="s">
        <v>17</v>
      </c>
      <c r="H2427" t="s">
        <v>32</v>
      </c>
      <c r="I2427" t="s">
        <v>33</v>
      </c>
      <c r="J2427" t="s">
        <v>1243</v>
      </c>
      <c r="K2427" s="9">
        <v>43606</v>
      </c>
      <c r="L2427" s="10">
        <v>0.35972222222222222</v>
      </c>
      <c r="M2427" t="s">
        <v>3590</v>
      </c>
      <c r="N2427" t="s">
        <v>3591</v>
      </c>
      <c r="O2427" t="s">
        <v>22</v>
      </c>
    </row>
    <row r="2428" spans="1:15" hidden="1">
      <c r="A2428" t="s">
        <v>15</v>
      </c>
      <c r="B2428" t="str">
        <f>"FES1162690542"</f>
        <v>FES1162690542</v>
      </c>
      <c r="C2428" s="9">
        <v>43605</v>
      </c>
      <c r="D2428">
        <v>1</v>
      </c>
      <c r="E2428">
        <v>2170687153</v>
      </c>
      <c r="F2428" t="s">
        <v>58</v>
      </c>
      <c r="G2428" t="s">
        <v>59</v>
      </c>
      <c r="H2428" t="s">
        <v>3592</v>
      </c>
      <c r="I2428" t="s">
        <v>2666</v>
      </c>
      <c r="J2428" t="s">
        <v>2667</v>
      </c>
      <c r="K2428" t="s">
        <v>1730</v>
      </c>
      <c r="L2428"/>
      <c r="M2428" t="s">
        <v>1731</v>
      </c>
      <c r="N2428" t="s">
        <v>3593</v>
      </c>
      <c r="O2428" t="s">
        <v>494</v>
      </c>
    </row>
    <row r="2429" spans="1:15" hidden="1">
      <c r="A2429" t="s">
        <v>15</v>
      </c>
      <c r="B2429" t="str">
        <f>"FES1162690568"</f>
        <v>FES1162690568</v>
      </c>
      <c r="C2429" s="9">
        <v>43605</v>
      </c>
      <c r="D2429">
        <v>2</v>
      </c>
      <c r="E2429">
        <v>2170689043</v>
      </c>
      <c r="F2429" t="s">
        <v>58</v>
      </c>
      <c r="G2429" t="s">
        <v>59</v>
      </c>
      <c r="H2429" t="s">
        <v>2986</v>
      </c>
      <c r="I2429" t="s">
        <v>309</v>
      </c>
      <c r="J2429" t="s">
        <v>3594</v>
      </c>
      <c r="K2429" s="9">
        <v>43606</v>
      </c>
      <c r="L2429" s="10">
        <v>0.45555555555555555</v>
      </c>
      <c r="M2429" t="s">
        <v>3595</v>
      </c>
      <c r="N2429" t="s">
        <v>3596</v>
      </c>
      <c r="O2429" t="s">
        <v>22</v>
      </c>
    </row>
    <row r="2430" spans="1:15" hidden="1">
      <c r="A2430" t="s">
        <v>15</v>
      </c>
      <c r="B2430" t="str">
        <f>"FES1162690662"</f>
        <v>FES1162690662</v>
      </c>
      <c r="C2430" s="9">
        <v>43605</v>
      </c>
      <c r="D2430">
        <v>1</v>
      </c>
      <c r="E2430">
        <v>2170689161</v>
      </c>
      <c r="F2430" t="s">
        <v>16</v>
      </c>
      <c r="G2430" t="s">
        <v>17</v>
      </c>
      <c r="H2430" t="s">
        <v>43</v>
      </c>
      <c r="I2430" t="s">
        <v>44</v>
      </c>
      <c r="J2430" t="s">
        <v>3597</v>
      </c>
      <c r="K2430" s="9">
        <v>43606</v>
      </c>
      <c r="L2430" s="10">
        <v>0.41666666666666669</v>
      </c>
      <c r="M2430" t="s">
        <v>3598</v>
      </c>
      <c r="N2430" t="s">
        <v>3599</v>
      </c>
      <c r="O2430" t="s">
        <v>22</v>
      </c>
    </row>
    <row r="2431" spans="1:15">
      <c r="A2431" s="6" t="s">
        <v>15</v>
      </c>
      <c r="B2431" s="6" t="str">
        <f>"FES1162690620"</f>
        <v>FES1162690620</v>
      </c>
      <c r="C2431" s="7">
        <v>43605</v>
      </c>
      <c r="D2431" s="6">
        <v>1</v>
      </c>
      <c r="E2431" s="6">
        <v>2170689040</v>
      </c>
      <c r="F2431" s="6" t="s">
        <v>16</v>
      </c>
      <c r="G2431" s="6" t="s">
        <v>17</v>
      </c>
      <c r="H2431" s="6" t="s">
        <v>17</v>
      </c>
      <c r="I2431" s="6" t="s">
        <v>613</v>
      </c>
      <c r="J2431" s="6" t="s">
        <v>3600</v>
      </c>
      <c r="K2431" s="7">
        <v>43606</v>
      </c>
      <c r="L2431" s="8">
        <v>0.4368055555555555</v>
      </c>
      <c r="M2431" s="6" t="s">
        <v>3601</v>
      </c>
      <c r="N2431" s="6" t="s">
        <v>21</v>
      </c>
      <c r="O2431" s="6" t="s">
        <v>22</v>
      </c>
    </row>
    <row r="2432" spans="1:15" hidden="1">
      <c r="A2432" t="s">
        <v>15</v>
      </c>
      <c r="B2432" t="str">
        <f>"FES1162690658"</f>
        <v>FES1162690658</v>
      </c>
      <c r="C2432" s="9">
        <v>43605</v>
      </c>
      <c r="D2432">
        <v>1</v>
      </c>
      <c r="E2432">
        <v>2170689156</v>
      </c>
      <c r="F2432" t="s">
        <v>16</v>
      </c>
      <c r="G2432" t="s">
        <v>17</v>
      </c>
      <c r="H2432" t="s">
        <v>290</v>
      </c>
      <c r="I2432" t="s">
        <v>291</v>
      </c>
      <c r="J2432" t="s">
        <v>2738</v>
      </c>
      <c r="K2432" s="9">
        <v>43606</v>
      </c>
      <c r="L2432" s="10">
        <v>0.38194444444444442</v>
      </c>
      <c r="M2432" t="s">
        <v>3602</v>
      </c>
      <c r="N2432" t="s">
        <v>3603</v>
      </c>
      <c r="O2432" t="s">
        <v>22</v>
      </c>
    </row>
    <row r="2433" spans="1:15" hidden="1">
      <c r="A2433" t="s">
        <v>15</v>
      </c>
      <c r="B2433" t="str">
        <f>"FES1162690655"</f>
        <v>FES1162690655</v>
      </c>
      <c r="C2433" s="9">
        <v>43605</v>
      </c>
      <c r="D2433">
        <v>1</v>
      </c>
      <c r="E2433">
        <v>2170689151</v>
      </c>
      <c r="F2433" t="s">
        <v>16</v>
      </c>
      <c r="G2433" t="s">
        <v>17</v>
      </c>
      <c r="H2433" t="s">
        <v>425</v>
      </c>
      <c r="I2433" t="s">
        <v>426</v>
      </c>
      <c r="J2433" t="s">
        <v>783</v>
      </c>
      <c r="K2433" s="9">
        <v>43606</v>
      </c>
      <c r="L2433" s="10">
        <v>0.38541666666666669</v>
      </c>
      <c r="M2433" t="s">
        <v>937</v>
      </c>
      <c r="N2433" t="s">
        <v>3604</v>
      </c>
      <c r="O2433" t="s">
        <v>22</v>
      </c>
    </row>
    <row r="2434" spans="1:15" hidden="1">
      <c r="A2434" t="s">
        <v>15</v>
      </c>
      <c r="B2434" t="str">
        <f>"FES1162690627"</f>
        <v>FES1162690627</v>
      </c>
      <c r="C2434" s="9">
        <v>43605</v>
      </c>
      <c r="D2434">
        <v>1</v>
      </c>
      <c r="E2434">
        <v>2170689103</v>
      </c>
      <c r="F2434" t="s">
        <v>16</v>
      </c>
      <c r="G2434" t="s">
        <v>17</v>
      </c>
      <c r="H2434" t="s">
        <v>141</v>
      </c>
      <c r="I2434" t="s">
        <v>142</v>
      </c>
      <c r="J2434" t="s">
        <v>3492</v>
      </c>
      <c r="K2434" s="9">
        <v>43606</v>
      </c>
      <c r="L2434" s="10">
        <v>0.37152777777777773</v>
      </c>
      <c r="M2434" t="s">
        <v>3605</v>
      </c>
      <c r="N2434" t="s">
        <v>3606</v>
      </c>
      <c r="O2434" t="s">
        <v>22</v>
      </c>
    </row>
    <row r="2435" spans="1:15" hidden="1">
      <c r="A2435" t="s">
        <v>15</v>
      </c>
      <c r="B2435" t="str">
        <f>"FES1162690589"</f>
        <v>FES1162690589</v>
      </c>
      <c r="C2435" s="9">
        <v>43605</v>
      </c>
      <c r="D2435">
        <v>2</v>
      </c>
      <c r="E2435">
        <v>2170689074</v>
      </c>
      <c r="F2435" t="s">
        <v>58</v>
      </c>
      <c r="G2435" t="s">
        <v>59</v>
      </c>
      <c r="H2435" t="s">
        <v>59</v>
      </c>
      <c r="I2435" t="s">
        <v>64</v>
      </c>
      <c r="J2435" t="s">
        <v>3607</v>
      </c>
      <c r="K2435" s="9">
        <v>43606</v>
      </c>
      <c r="L2435" s="10">
        <v>0.36041666666666666</v>
      </c>
      <c r="M2435" t="s">
        <v>3608</v>
      </c>
      <c r="N2435" t="s">
        <v>3609</v>
      </c>
      <c r="O2435" t="s">
        <v>22</v>
      </c>
    </row>
    <row r="2436" spans="1:15" hidden="1">
      <c r="A2436" t="s">
        <v>15</v>
      </c>
      <c r="B2436" t="str">
        <f>"FES1162690671"</f>
        <v>FES1162690671</v>
      </c>
      <c r="C2436" s="9">
        <v>43605</v>
      </c>
      <c r="D2436">
        <v>1</v>
      </c>
      <c r="E2436">
        <v>2170689169</v>
      </c>
      <c r="F2436" t="s">
        <v>16</v>
      </c>
      <c r="G2436" t="s">
        <v>17</v>
      </c>
      <c r="H2436" t="s">
        <v>132</v>
      </c>
      <c r="I2436" t="s">
        <v>133</v>
      </c>
      <c r="J2436" t="s">
        <v>594</v>
      </c>
      <c r="K2436" s="9">
        <v>43606</v>
      </c>
      <c r="L2436" s="10">
        <v>0.37291666666666662</v>
      </c>
      <c r="M2436" t="s">
        <v>3610</v>
      </c>
      <c r="N2436" t="s">
        <v>3611</v>
      </c>
      <c r="O2436" t="s">
        <v>22</v>
      </c>
    </row>
    <row r="2437" spans="1:15" hidden="1">
      <c r="A2437" t="s">
        <v>15</v>
      </c>
      <c r="B2437" t="str">
        <f>"FES1162690669"</f>
        <v>FES1162690669</v>
      </c>
      <c r="C2437" s="9">
        <v>43605</v>
      </c>
      <c r="D2437">
        <v>1</v>
      </c>
      <c r="E2437">
        <v>2170689166</v>
      </c>
      <c r="F2437" t="s">
        <v>16</v>
      </c>
      <c r="G2437" t="s">
        <v>17</v>
      </c>
      <c r="H2437" t="s">
        <v>43</v>
      </c>
      <c r="I2437" t="s">
        <v>75</v>
      </c>
      <c r="J2437" t="s">
        <v>3612</v>
      </c>
      <c r="K2437" s="9">
        <v>43606</v>
      </c>
      <c r="L2437" s="10">
        <v>0.46875</v>
      </c>
      <c r="M2437" t="s">
        <v>3613</v>
      </c>
      <c r="N2437" t="s">
        <v>3614</v>
      </c>
      <c r="O2437" t="s">
        <v>22</v>
      </c>
    </row>
    <row r="2438" spans="1:15" hidden="1">
      <c r="A2438" t="s">
        <v>15</v>
      </c>
      <c r="B2438" t="str">
        <f>"FES1162690668"</f>
        <v>FES1162690668</v>
      </c>
      <c r="C2438" s="9">
        <v>43605</v>
      </c>
      <c r="D2438">
        <v>1</v>
      </c>
      <c r="E2438">
        <v>2170689165</v>
      </c>
      <c r="F2438" t="s">
        <v>16</v>
      </c>
      <c r="G2438" t="s">
        <v>17</v>
      </c>
      <c r="H2438" t="s">
        <v>43</v>
      </c>
      <c r="I2438" t="s">
        <v>44</v>
      </c>
      <c r="J2438" t="s">
        <v>3615</v>
      </c>
      <c r="K2438" s="9">
        <v>43606</v>
      </c>
      <c r="L2438" s="10">
        <v>0.36527777777777781</v>
      </c>
      <c r="M2438" t="s">
        <v>3616</v>
      </c>
      <c r="N2438" t="s">
        <v>3617</v>
      </c>
      <c r="O2438" t="s">
        <v>22</v>
      </c>
    </row>
    <row r="2439" spans="1:15" hidden="1">
      <c r="A2439" t="s">
        <v>15</v>
      </c>
      <c r="B2439" t="str">
        <f>"FES1162690657"</f>
        <v>FES1162690657</v>
      </c>
      <c r="C2439" s="9">
        <v>43605</v>
      </c>
      <c r="D2439">
        <v>1</v>
      </c>
      <c r="E2439">
        <v>2170689154</v>
      </c>
      <c r="F2439" t="s">
        <v>16</v>
      </c>
      <c r="G2439" t="s">
        <v>17</v>
      </c>
      <c r="H2439" t="s">
        <v>141</v>
      </c>
      <c r="I2439" t="s">
        <v>185</v>
      </c>
      <c r="J2439" t="s">
        <v>1907</v>
      </c>
      <c r="K2439" s="9">
        <v>43606</v>
      </c>
      <c r="L2439" s="10">
        <v>0.41180555555555554</v>
      </c>
      <c r="M2439" t="s">
        <v>3618</v>
      </c>
      <c r="N2439" t="s">
        <v>3619</v>
      </c>
      <c r="O2439" t="s">
        <v>22</v>
      </c>
    </row>
    <row r="2440" spans="1:15" hidden="1">
      <c r="A2440" t="s">
        <v>15</v>
      </c>
      <c r="B2440" t="str">
        <f>"FES1162690656"</f>
        <v>FES1162690656</v>
      </c>
      <c r="C2440" s="9">
        <v>43605</v>
      </c>
      <c r="D2440">
        <v>1</v>
      </c>
      <c r="E2440">
        <v>2170689153</v>
      </c>
      <c r="F2440" t="s">
        <v>16</v>
      </c>
      <c r="G2440" t="s">
        <v>17</v>
      </c>
      <c r="H2440" t="s">
        <v>141</v>
      </c>
      <c r="I2440" t="s">
        <v>185</v>
      </c>
      <c r="J2440" t="s">
        <v>1907</v>
      </c>
      <c r="K2440" s="9">
        <v>43606</v>
      </c>
      <c r="L2440" s="10">
        <v>0.41180555555555554</v>
      </c>
      <c r="M2440" t="s">
        <v>3618</v>
      </c>
      <c r="N2440" t="s">
        <v>3620</v>
      </c>
      <c r="O2440" t="s">
        <v>22</v>
      </c>
    </row>
    <row r="2441" spans="1:15" hidden="1">
      <c r="A2441" t="s">
        <v>15</v>
      </c>
      <c r="B2441" t="str">
        <f>"FES1162690666"</f>
        <v>FES1162690666</v>
      </c>
      <c r="C2441" s="9">
        <v>43605</v>
      </c>
      <c r="D2441">
        <v>1</v>
      </c>
      <c r="E2441">
        <v>2170684304</v>
      </c>
      <c r="F2441" t="s">
        <v>16</v>
      </c>
      <c r="G2441" t="s">
        <v>17</v>
      </c>
      <c r="H2441" t="s">
        <v>32</v>
      </c>
      <c r="I2441" t="s">
        <v>33</v>
      </c>
      <c r="J2441" t="s">
        <v>284</v>
      </c>
      <c r="K2441" s="9">
        <v>43606</v>
      </c>
      <c r="L2441" s="10">
        <v>0.3833333333333333</v>
      </c>
      <c r="M2441" t="s">
        <v>781</v>
      </c>
      <c r="N2441" t="s">
        <v>3621</v>
      </c>
      <c r="O2441" t="s">
        <v>22</v>
      </c>
    </row>
    <row r="2442" spans="1:15" hidden="1">
      <c r="A2442" t="s">
        <v>15</v>
      </c>
      <c r="B2442" t="str">
        <f>"FES1162690654"</f>
        <v>FES1162690654</v>
      </c>
      <c r="C2442" s="9">
        <v>43605</v>
      </c>
      <c r="D2442">
        <v>1</v>
      </c>
      <c r="E2442">
        <v>2170689148</v>
      </c>
      <c r="F2442" t="s">
        <v>16</v>
      </c>
      <c r="G2442" t="s">
        <v>17</v>
      </c>
      <c r="H2442" t="s">
        <v>43</v>
      </c>
      <c r="I2442" t="s">
        <v>60</v>
      </c>
      <c r="J2442" t="s">
        <v>61</v>
      </c>
      <c r="K2442" s="9">
        <v>43607</v>
      </c>
      <c r="L2442" s="10">
        <v>0.5756944444444444</v>
      </c>
      <c r="M2442" t="s">
        <v>61</v>
      </c>
      <c r="N2442" t="s">
        <v>3622</v>
      </c>
      <c r="O2442" t="s">
        <v>22</v>
      </c>
    </row>
    <row r="2443" spans="1:15" hidden="1">
      <c r="A2443" t="s">
        <v>15</v>
      </c>
      <c r="B2443" t="str">
        <f>"FES1162690649"</f>
        <v>FES1162690649</v>
      </c>
      <c r="C2443" s="9">
        <v>43605</v>
      </c>
      <c r="D2443">
        <v>1</v>
      </c>
      <c r="E2443">
        <v>2170689140</v>
      </c>
      <c r="F2443" t="s">
        <v>16</v>
      </c>
      <c r="G2443" t="s">
        <v>17</v>
      </c>
      <c r="H2443" t="s">
        <v>43</v>
      </c>
      <c r="I2443" t="s">
        <v>44</v>
      </c>
      <c r="J2443" t="s">
        <v>3623</v>
      </c>
      <c r="K2443" s="9">
        <v>43606</v>
      </c>
      <c r="L2443" s="10">
        <v>0.4597222222222222</v>
      </c>
      <c r="M2443" t="s">
        <v>3624</v>
      </c>
      <c r="N2443" t="s">
        <v>3625</v>
      </c>
      <c r="O2443" t="s">
        <v>22</v>
      </c>
    </row>
    <row r="2444" spans="1:15">
      <c r="A2444" s="6" t="s">
        <v>15</v>
      </c>
      <c r="B2444" s="6" t="str">
        <f>"FES1162690590"</f>
        <v>FES1162690590</v>
      </c>
      <c r="C2444" s="7">
        <v>43605</v>
      </c>
      <c r="D2444" s="6">
        <v>1</v>
      </c>
      <c r="E2444" s="6">
        <v>2170688311</v>
      </c>
      <c r="F2444" s="6" t="s">
        <v>16</v>
      </c>
      <c r="G2444" s="6" t="s">
        <v>17</v>
      </c>
      <c r="H2444" s="6" t="s">
        <v>17</v>
      </c>
      <c r="I2444" s="6" t="s">
        <v>64</v>
      </c>
      <c r="J2444" s="6" t="s">
        <v>513</v>
      </c>
      <c r="K2444" s="7">
        <v>43606</v>
      </c>
      <c r="L2444" s="8">
        <v>0.4458333333333333</v>
      </c>
      <c r="M2444" s="6" t="s">
        <v>1388</v>
      </c>
      <c r="N2444" s="6" t="s">
        <v>21</v>
      </c>
      <c r="O2444" s="6" t="s">
        <v>22</v>
      </c>
    </row>
    <row r="2445" spans="1:15">
      <c r="A2445" s="6" t="s">
        <v>15</v>
      </c>
      <c r="B2445" s="6" t="str">
        <f>"FES1162690565"</f>
        <v>FES1162690565</v>
      </c>
      <c r="C2445" s="7">
        <v>43605</v>
      </c>
      <c r="D2445" s="6">
        <v>1</v>
      </c>
      <c r="E2445" s="6">
        <v>2170689038</v>
      </c>
      <c r="F2445" s="6" t="s">
        <v>16</v>
      </c>
      <c r="G2445" s="6" t="s">
        <v>17</v>
      </c>
      <c r="H2445" s="6" t="s">
        <v>17</v>
      </c>
      <c r="I2445" s="6" t="s">
        <v>64</v>
      </c>
      <c r="J2445" s="6" t="s">
        <v>3626</v>
      </c>
      <c r="K2445" s="7">
        <v>43606</v>
      </c>
      <c r="L2445" s="8">
        <v>0.3888888888888889</v>
      </c>
      <c r="M2445" s="6" t="s">
        <v>3627</v>
      </c>
      <c r="N2445" s="6" t="s">
        <v>21</v>
      </c>
      <c r="O2445" s="6" t="s">
        <v>22</v>
      </c>
    </row>
    <row r="2446" spans="1:15" hidden="1">
      <c r="A2446" t="s">
        <v>15</v>
      </c>
      <c r="B2446" t="str">
        <f>"FES1162690650"</f>
        <v>FES1162690650</v>
      </c>
      <c r="C2446" s="9">
        <v>43605</v>
      </c>
      <c r="D2446">
        <v>1</v>
      </c>
      <c r="E2446">
        <v>2170689141</v>
      </c>
      <c r="F2446" t="s">
        <v>16</v>
      </c>
      <c r="G2446" t="s">
        <v>17</v>
      </c>
      <c r="H2446" t="s">
        <v>141</v>
      </c>
      <c r="I2446" t="s">
        <v>1451</v>
      </c>
      <c r="J2446" t="s">
        <v>3628</v>
      </c>
      <c r="K2446" s="9">
        <v>43606</v>
      </c>
      <c r="L2446" s="10">
        <v>0.42222222222222222</v>
      </c>
      <c r="M2446" t="s">
        <v>3629</v>
      </c>
      <c r="N2446" t="s">
        <v>3630</v>
      </c>
      <c r="O2446" t="s">
        <v>22</v>
      </c>
    </row>
    <row r="2447" spans="1:15">
      <c r="A2447" s="6" t="s">
        <v>15</v>
      </c>
      <c r="B2447" s="6" t="str">
        <f>"FES1162690553"</f>
        <v>FES1162690553</v>
      </c>
      <c r="C2447" s="7">
        <v>43605</v>
      </c>
      <c r="D2447" s="6">
        <v>2</v>
      </c>
      <c r="E2447" s="6">
        <v>2170689022</v>
      </c>
      <c r="F2447" s="6" t="s">
        <v>16</v>
      </c>
      <c r="G2447" s="6" t="s">
        <v>17</v>
      </c>
      <c r="H2447" s="6" t="s">
        <v>17</v>
      </c>
      <c r="I2447" s="6" t="s">
        <v>23</v>
      </c>
      <c r="J2447" s="6" t="s">
        <v>158</v>
      </c>
      <c r="K2447" s="7">
        <v>43606</v>
      </c>
      <c r="L2447" s="8">
        <v>0.35694444444444445</v>
      </c>
      <c r="M2447" s="6" t="s">
        <v>3631</v>
      </c>
      <c r="N2447" s="6" t="s">
        <v>21</v>
      </c>
      <c r="O2447" s="6" t="s">
        <v>22</v>
      </c>
    </row>
    <row r="2448" spans="1:15" hidden="1">
      <c r="A2448" t="s">
        <v>15</v>
      </c>
      <c r="B2448" t="str">
        <f>"FES1162690643"</f>
        <v>FES1162690643</v>
      </c>
      <c r="C2448" s="9">
        <v>43605</v>
      </c>
      <c r="D2448">
        <v>1</v>
      </c>
      <c r="E2448">
        <v>2170689128</v>
      </c>
      <c r="F2448" t="s">
        <v>16</v>
      </c>
      <c r="G2448" t="s">
        <v>17</v>
      </c>
      <c r="H2448" t="s">
        <v>141</v>
      </c>
      <c r="I2448" t="s">
        <v>185</v>
      </c>
      <c r="J2448" t="s">
        <v>430</v>
      </c>
      <c r="K2448" s="9">
        <v>43606</v>
      </c>
      <c r="L2448" s="10">
        <v>0.41319444444444442</v>
      </c>
      <c r="M2448" t="s">
        <v>3632</v>
      </c>
      <c r="N2448" t="s">
        <v>3633</v>
      </c>
      <c r="O2448" t="s">
        <v>22</v>
      </c>
    </row>
    <row r="2449" spans="1:15" hidden="1">
      <c r="A2449" t="s">
        <v>15</v>
      </c>
      <c r="B2449" t="str">
        <f>"FES1162690645"</f>
        <v>FES1162690645</v>
      </c>
      <c r="C2449" s="9">
        <v>43605</v>
      </c>
      <c r="D2449">
        <v>1</v>
      </c>
      <c r="E2449" t="s">
        <v>3634</v>
      </c>
      <c r="F2449" t="s">
        <v>16</v>
      </c>
      <c r="G2449" t="s">
        <v>17</v>
      </c>
      <c r="H2449" t="s">
        <v>141</v>
      </c>
      <c r="I2449" t="s">
        <v>185</v>
      </c>
      <c r="J2449" t="s">
        <v>430</v>
      </c>
      <c r="K2449" s="9">
        <v>43606</v>
      </c>
      <c r="L2449" s="10">
        <v>0.41319444444444442</v>
      </c>
      <c r="M2449" t="s">
        <v>3632</v>
      </c>
      <c r="N2449" t="s">
        <v>3635</v>
      </c>
      <c r="O2449" t="s">
        <v>22</v>
      </c>
    </row>
    <row r="2450" spans="1:15" hidden="1">
      <c r="A2450" t="s">
        <v>15</v>
      </c>
      <c r="B2450" t="str">
        <f>"FES1162690637"</f>
        <v>FES1162690637</v>
      </c>
      <c r="C2450" s="9">
        <v>43605</v>
      </c>
      <c r="D2450">
        <v>1</v>
      </c>
      <c r="E2450">
        <v>2170689118</v>
      </c>
      <c r="F2450" t="s">
        <v>16</v>
      </c>
      <c r="G2450" t="s">
        <v>17</v>
      </c>
      <c r="H2450" t="s">
        <v>43</v>
      </c>
      <c r="I2450" t="s">
        <v>75</v>
      </c>
      <c r="J2450" t="s">
        <v>76</v>
      </c>
      <c r="K2450" s="9">
        <v>43606</v>
      </c>
      <c r="L2450" s="10">
        <v>0.47916666666666669</v>
      </c>
      <c r="M2450" t="s">
        <v>663</v>
      </c>
      <c r="N2450" t="s">
        <v>3636</v>
      </c>
      <c r="O2450" t="s">
        <v>22</v>
      </c>
    </row>
    <row r="2451" spans="1:15">
      <c r="A2451" s="6" t="s">
        <v>15</v>
      </c>
      <c r="B2451" s="6" t="str">
        <f>"FES1162690594"</f>
        <v>FES1162690594</v>
      </c>
      <c r="C2451" s="7">
        <v>43605</v>
      </c>
      <c r="D2451" s="6">
        <v>1</v>
      </c>
      <c r="E2451" s="6">
        <v>2170689081</v>
      </c>
      <c r="F2451" s="6" t="s">
        <v>16</v>
      </c>
      <c r="G2451" s="6" t="s">
        <v>17</v>
      </c>
      <c r="H2451" s="6" t="s">
        <v>17</v>
      </c>
      <c r="I2451" s="6" t="s">
        <v>29</v>
      </c>
      <c r="J2451" s="6" t="s">
        <v>109</v>
      </c>
      <c r="K2451" s="7">
        <v>43606</v>
      </c>
      <c r="L2451" s="8">
        <v>0.41666666666666669</v>
      </c>
      <c r="M2451" s="6" t="s">
        <v>1277</v>
      </c>
      <c r="N2451" s="6" t="s">
        <v>21</v>
      </c>
      <c r="O2451" s="6" t="s">
        <v>22</v>
      </c>
    </row>
    <row r="2452" spans="1:15" hidden="1">
      <c r="A2452" t="s">
        <v>15</v>
      </c>
      <c r="B2452" t="str">
        <f>"FES1162690575"</f>
        <v>FES1162690575</v>
      </c>
      <c r="C2452" s="9">
        <v>43605</v>
      </c>
      <c r="D2452">
        <v>1</v>
      </c>
      <c r="E2452">
        <v>2170689057</v>
      </c>
      <c r="F2452" t="s">
        <v>16</v>
      </c>
      <c r="G2452" t="s">
        <v>17</v>
      </c>
      <c r="H2452" t="s">
        <v>1055</v>
      </c>
      <c r="I2452" t="s">
        <v>2050</v>
      </c>
      <c r="J2452" t="s">
        <v>2051</v>
      </c>
      <c r="K2452" s="9">
        <v>43606</v>
      </c>
      <c r="L2452" s="10">
        <v>0.375</v>
      </c>
      <c r="M2452" t="s">
        <v>3637</v>
      </c>
      <c r="N2452" t="s">
        <v>3638</v>
      </c>
      <c r="O2452" t="s">
        <v>22</v>
      </c>
    </row>
    <row r="2453" spans="1:15">
      <c r="A2453" s="6" t="s">
        <v>15</v>
      </c>
      <c r="B2453" s="6" t="str">
        <f>"FES1162690615"</f>
        <v>FES1162690615</v>
      </c>
      <c r="C2453" s="7">
        <v>43605</v>
      </c>
      <c r="D2453" s="6">
        <v>1</v>
      </c>
      <c r="E2453" s="6">
        <v>2170689101</v>
      </c>
      <c r="F2453" s="6" t="s">
        <v>16</v>
      </c>
      <c r="G2453" s="6" t="s">
        <v>17</v>
      </c>
      <c r="H2453" s="6" t="s">
        <v>17</v>
      </c>
      <c r="I2453" s="6" t="s">
        <v>148</v>
      </c>
      <c r="J2453" s="6" t="s">
        <v>149</v>
      </c>
      <c r="K2453" s="7">
        <v>43606</v>
      </c>
      <c r="L2453" s="8">
        <v>0.40902777777777777</v>
      </c>
      <c r="M2453" s="6" t="s">
        <v>1592</v>
      </c>
      <c r="N2453" s="6" t="s">
        <v>21</v>
      </c>
      <c r="O2453" s="6" t="s">
        <v>22</v>
      </c>
    </row>
    <row r="2454" spans="1:15" hidden="1">
      <c r="A2454" t="s">
        <v>15</v>
      </c>
      <c r="B2454" t="str">
        <f>"FES1162690664"</f>
        <v>FES1162690664</v>
      </c>
      <c r="C2454" s="9">
        <v>43605</v>
      </c>
      <c r="D2454">
        <v>1</v>
      </c>
      <c r="E2454">
        <v>2170683114</v>
      </c>
      <c r="F2454" t="s">
        <v>16</v>
      </c>
      <c r="G2454" t="s">
        <v>17</v>
      </c>
      <c r="H2454" t="s">
        <v>37</v>
      </c>
      <c r="I2454" t="s">
        <v>38</v>
      </c>
      <c r="J2454" t="s">
        <v>3639</v>
      </c>
      <c r="K2454" s="9">
        <v>43606</v>
      </c>
      <c r="L2454" s="10">
        <v>0.3576388888888889</v>
      </c>
      <c r="M2454" t="s">
        <v>3640</v>
      </c>
      <c r="N2454" t="s">
        <v>3522</v>
      </c>
      <c r="O2454" t="s">
        <v>22</v>
      </c>
    </row>
    <row r="2455" spans="1:15" hidden="1">
      <c r="A2455" t="s">
        <v>15</v>
      </c>
      <c r="B2455" t="str">
        <f>"FES1162690684"</f>
        <v>FES1162690684</v>
      </c>
      <c r="C2455" s="9">
        <v>43605</v>
      </c>
      <c r="D2455">
        <v>1</v>
      </c>
      <c r="E2455">
        <v>2170689179</v>
      </c>
      <c r="F2455" t="s">
        <v>16</v>
      </c>
      <c r="G2455" t="s">
        <v>17</v>
      </c>
      <c r="H2455" t="s">
        <v>141</v>
      </c>
      <c r="I2455" t="s">
        <v>1451</v>
      </c>
      <c r="J2455" t="s">
        <v>3628</v>
      </c>
      <c r="K2455" s="9">
        <v>43606</v>
      </c>
      <c r="L2455" s="10">
        <v>0.42222222222222222</v>
      </c>
      <c r="M2455" t="s">
        <v>3629</v>
      </c>
      <c r="N2455" t="s">
        <v>3641</v>
      </c>
      <c r="O2455" t="s">
        <v>22</v>
      </c>
    </row>
    <row r="2456" spans="1:15" hidden="1">
      <c r="A2456" t="s">
        <v>15</v>
      </c>
      <c r="B2456" t="str">
        <f>"009935723241"</f>
        <v>009935723241</v>
      </c>
      <c r="C2456" s="9">
        <v>43605</v>
      </c>
      <c r="D2456">
        <v>1</v>
      </c>
      <c r="E2456">
        <v>1162679857</v>
      </c>
      <c r="F2456" t="s">
        <v>16</v>
      </c>
      <c r="G2456" t="s">
        <v>17</v>
      </c>
      <c r="H2456" t="s">
        <v>525</v>
      </c>
      <c r="I2456" t="s">
        <v>3408</v>
      </c>
      <c r="J2456" t="s">
        <v>3409</v>
      </c>
      <c r="K2456" s="9">
        <v>43607</v>
      </c>
      <c r="L2456" s="10">
        <v>0.39930555555555558</v>
      </c>
      <c r="M2456" t="s">
        <v>3642</v>
      </c>
      <c r="N2456" t="s">
        <v>3643</v>
      </c>
      <c r="O2456" t="s">
        <v>3644</v>
      </c>
    </row>
    <row r="2457" spans="1:15">
      <c r="A2457" s="6" t="s">
        <v>15</v>
      </c>
      <c r="B2457" s="6" t="str">
        <f>"FES1162690646"</f>
        <v>FES1162690646</v>
      </c>
      <c r="C2457" s="7">
        <v>43605</v>
      </c>
      <c r="D2457" s="6">
        <v>1</v>
      </c>
      <c r="E2457" s="6">
        <v>2170689133</v>
      </c>
      <c r="F2457" s="6" t="s">
        <v>16</v>
      </c>
      <c r="G2457" s="6" t="s">
        <v>17</v>
      </c>
      <c r="H2457" s="6" t="s">
        <v>17</v>
      </c>
      <c r="I2457" s="6" t="s">
        <v>18</v>
      </c>
      <c r="J2457" s="6" t="s">
        <v>89</v>
      </c>
      <c r="K2457" s="7">
        <v>43606</v>
      </c>
      <c r="L2457" s="8">
        <v>0.375</v>
      </c>
      <c r="M2457" s="6" t="s">
        <v>3645</v>
      </c>
      <c r="N2457" s="6" t="s">
        <v>21</v>
      </c>
      <c r="O2457" s="6" t="s">
        <v>22</v>
      </c>
    </row>
    <row r="2458" spans="1:15">
      <c r="A2458" s="6" t="s">
        <v>15</v>
      </c>
      <c r="B2458" s="6" t="str">
        <f>"FES1162690605"</f>
        <v>FES1162690605</v>
      </c>
      <c r="C2458" s="7">
        <v>43605</v>
      </c>
      <c r="D2458" s="6">
        <v>1</v>
      </c>
      <c r="E2458" s="6">
        <v>2170689090</v>
      </c>
      <c r="F2458" s="6" t="s">
        <v>16</v>
      </c>
      <c r="G2458" s="6" t="s">
        <v>17</v>
      </c>
      <c r="H2458" s="6" t="s">
        <v>17</v>
      </c>
      <c r="I2458" s="6" t="s">
        <v>18</v>
      </c>
      <c r="J2458" s="6" t="s">
        <v>19</v>
      </c>
      <c r="K2458" s="7">
        <v>43606</v>
      </c>
      <c r="L2458" s="8">
        <v>0.42083333333333334</v>
      </c>
      <c r="M2458" s="6" t="s">
        <v>1978</v>
      </c>
      <c r="N2458" s="6" t="s">
        <v>21</v>
      </c>
      <c r="O2458" s="6" t="s">
        <v>22</v>
      </c>
    </row>
    <row r="2459" spans="1:15" hidden="1">
      <c r="A2459" t="s">
        <v>15</v>
      </c>
      <c r="B2459" t="str">
        <f>"FES1162690681"</f>
        <v>FES1162690681</v>
      </c>
      <c r="C2459" s="9">
        <v>43605</v>
      </c>
      <c r="D2459">
        <v>1</v>
      </c>
      <c r="E2459">
        <v>2170688802</v>
      </c>
      <c r="F2459" t="s">
        <v>16</v>
      </c>
      <c r="G2459" t="s">
        <v>17</v>
      </c>
      <c r="H2459" t="s">
        <v>290</v>
      </c>
      <c r="I2459" t="s">
        <v>291</v>
      </c>
      <c r="J2459" t="s">
        <v>1744</v>
      </c>
      <c r="K2459" s="9">
        <v>43606</v>
      </c>
      <c r="L2459" s="10">
        <v>0.38541666666666669</v>
      </c>
      <c r="M2459" t="s">
        <v>1005</v>
      </c>
      <c r="N2459" t="s">
        <v>3646</v>
      </c>
      <c r="O2459" t="s">
        <v>22</v>
      </c>
    </row>
    <row r="2460" spans="1:15">
      <c r="A2460" s="6" t="s">
        <v>15</v>
      </c>
      <c r="B2460" s="6" t="str">
        <f>"FES1162690614"</f>
        <v>FES1162690614</v>
      </c>
      <c r="C2460" s="7">
        <v>43605</v>
      </c>
      <c r="D2460" s="6">
        <v>1</v>
      </c>
      <c r="E2460" s="6">
        <v>2170689100</v>
      </c>
      <c r="F2460" s="6" t="s">
        <v>16</v>
      </c>
      <c r="G2460" s="6" t="s">
        <v>17</v>
      </c>
      <c r="H2460" s="6" t="s">
        <v>17</v>
      </c>
      <c r="I2460" s="6" t="s">
        <v>421</v>
      </c>
      <c r="J2460" s="6" t="s">
        <v>885</v>
      </c>
      <c r="K2460" s="7">
        <v>43606</v>
      </c>
      <c r="L2460" s="8">
        <v>0.33333333333333331</v>
      </c>
      <c r="M2460" s="6" t="s">
        <v>2275</v>
      </c>
      <c r="N2460" s="6" t="s">
        <v>21</v>
      </c>
      <c r="O2460" s="6" t="s">
        <v>22</v>
      </c>
    </row>
    <row r="2461" spans="1:15">
      <c r="A2461" s="6" t="s">
        <v>15</v>
      </c>
      <c r="B2461" s="6" t="str">
        <f>"FES1162690608"</f>
        <v>FES1162690608</v>
      </c>
      <c r="C2461" s="7">
        <v>43605</v>
      </c>
      <c r="D2461" s="6">
        <v>1</v>
      </c>
      <c r="E2461" s="6">
        <v>2170689095</v>
      </c>
      <c r="F2461" s="6" t="s">
        <v>16</v>
      </c>
      <c r="G2461" s="6" t="s">
        <v>17</v>
      </c>
      <c r="H2461" s="6" t="s">
        <v>17</v>
      </c>
      <c r="I2461" s="6" t="s">
        <v>64</v>
      </c>
      <c r="J2461" s="6" t="s">
        <v>1094</v>
      </c>
      <c r="K2461" s="7">
        <v>43606</v>
      </c>
      <c r="L2461" s="8">
        <v>0.35486111111111113</v>
      </c>
      <c r="M2461" s="6" t="s">
        <v>2034</v>
      </c>
      <c r="N2461" s="6" t="s">
        <v>21</v>
      </c>
      <c r="O2461" s="6" t="s">
        <v>22</v>
      </c>
    </row>
    <row r="2462" spans="1:15">
      <c r="A2462" s="6" t="s">
        <v>15</v>
      </c>
      <c r="B2462" s="6" t="str">
        <f>"FES1162690552"</f>
        <v>FES1162690552</v>
      </c>
      <c r="C2462" s="7">
        <v>43605</v>
      </c>
      <c r="D2462" s="6">
        <v>1</v>
      </c>
      <c r="E2462" s="6">
        <v>2170689021</v>
      </c>
      <c r="F2462" s="6" t="s">
        <v>16</v>
      </c>
      <c r="G2462" s="6" t="s">
        <v>17</v>
      </c>
      <c r="H2462" s="6" t="s">
        <v>17</v>
      </c>
      <c r="I2462" s="6" t="s">
        <v>613</v>
      </c>
      <c r="J2462" s="6" t="s">
        <v>3647</v>
      </c>
      <c r="K2462" s="7">
        <v>43606</v>
      </c>
      <c r="L2462" s="8">
        <v>0.41736111111111113</v>
      </c>
      <c r="M2462" s="6" t="s">
        <v>1279</v>
      </c>
      <c r="N2462" s="6" t="s">
        <v>21</v>
      </c>
      <c r="O2462" s="6" t="s">
        <v>22</v>
      </c>
    </row>
    <row r="2463" spans="1:15" hidden="1">
      <c r="A2463" t="s">
        <v>15</v>
      </c>
      <c r="B2463" t="str">
        <f>"FES1162690688"</f>
        <v>FES1162690688</v>
      </c>
      <c r="C2463" s="9">
        <v>43605</v>
      </c>
      <c r="D2463">
        <v>1</v>
      </c>
      <c r="E2463">
        <v>2170689186</v>
      </c>
      <c r="F2463" t="s">
        <v>16</v>
      </c>
      <c r="G2463" t="s">
        <v>17</v>
      </c>
      <c r="H2463" t="s">
        <v>37</v>
      </c>
      <c r="I2463" t="s">
        <v>38</v>
      </c>
      <c r="J2463" t="s">
        <v>39</v>
      </c>
      <c r="K2463" s="9">
        <v>43606</v>
      </c>
      <c r="L2463" s="10">
        <v>0.3659722222222222</v>
      </c>
      <c r="M2463" t="s">
        <v>1740</v>
      </c>
      <c r="N2463" t="s">
        <v>3648</v>
      </c>
      <c r="O2463" t="s">
        <v>22</v>
      </c>
    </row>
    <row r="2464" spans="1:15" hidden="1">
      <c r="A2464" t="s">
        <v>15</v>
      </c>
      <c r="B2464" t="str">
        <f>"FES1162690692"</f>
        <v>FES1162690692</v>
      </c>
      <c r="C2464" s="9">
        <v>43605</v>
      </c>
      <c r="D2464">
        <v>1</v>
      </c>
      <c r="E2464">
        <v>2170687572</v>
      </c>
      <c r="F2464" t="s">
        <v>16</v>
      </c>
      <c r="G2464" t="s">
        <v>17</v>
      </c>
      <c r="H2464" t="s">
        <v>37</v>
      </c>
      <c r="I2464" t="s">
        <v>38</v>
      </c>
      <c r="J2464" t="s">
        <v>39</v>
      </c>
      <c r="K2464" s="9">
        <v>43606</v>
      </c>
      <c r="L2464" s="10">
        <v>0.3659722222222222</v>
      </c>
      <c r="M2464" t="s">
        <v>1740</v>
      </c>
      <c r="N2464" t="s">
        <v>3649</v>
      </c>
      <c r="O2464" t="s">
        <v>22</v>
      </c>
    </row>
    <row r="2465" spans="1:15" hidden="1">
      <c r="A2465" t="s">
        <v>15</v>
      </c>
      <c r="B2465" t="str">
        <f>"FES1162690691"</f>
        <v>FES1162690691</v>
      </c>
      <c r="C2465" s="9">
        <v>43605</v>
      </c>
      <c r="D2465">
        <v>1</v>
      </c>
      <c r="E2465">
        <v>2170688305</v>
      </c>
      <c r="F2465" t="s">
        <v>16</v>
      </c>
      <c r="G2465" t="s">
        <v>17</v>
      </c>
      <c r="H2465" t="s">
        <v>37</v>
      </c>
      <c r="I2465" t="s">
        <v>38</v>
      </c>
      <c r="J2465" t="s">
        <v>39</v>
      </c>
      <c r="K2465" s="9">
        <v>43606</v>
      </c>
      <c r="L2465" s="10">
        <v>0.3659722222222222</v>
      </c>
      <c r="M2465" t="s">
        <v>1740</v>
      </c>
      <c r="N2465" t="s">
        <v>3650</v>
      </c>
      <c r="O2465" t="s">
        <v>22</v>
      </c>
    </row>
    <row r="2466" spans="1:15" hidden="1">
      <c r="A2466" t="s">
        <v>15</v>
      </c>
      <c r="B2466" t="str">
        <f>"FES1162690629"</f>
        <v>FES1162690629</v>
      </c>
      <c r="C2466" s="9">
        <v>43605</v>
      </c>
      <c r="D2466">
        <v>1</v>
      </c>
      <c r="E2466">
        <v>2170689109</v>
      </c>
      <c r="F2466" t="s">
        <v>16</v>
      </c>
      <c r="G2466" t="s">
        <v>17</v>
      </c>
      <c r="H2466" t="s">
        <v>141</v>
      </c>
      <c r="I2466" t="s">
        <v>142</v>
      </c>
      <c r="J2466" t="s">
        <v>3651</v>
      </c>
      <c r="K2466" s="9">
        <v>43606</v>
      </c>
      <c r="L2466" s="10">
        <v>0.39166666666666666</v>
      </c>
      <c r="M2466" t="s">
        <v>1205</v>
      </c>
      <c r="N2466" t="s">
        <v>3652</v>
      </c>
      <c r="O2466" t="s">
        <v>22</v>
      </c>
    </row>
    <row r="2467" spans="1:15">
      <c r="A2467" s="6" t="s">
        <v>15</v>
      </c>
      <c r="B2467" s="6" t="str">
        <f>"FES1162690653"</f>
        <v>FES1162690653</v>
      </c>
      <c r="C2467" s="7">
        <v>43605</v>
      </c>
      <c r="D2467" s="6">
        <v>1</v>
      </c>
      <c r="E2467" s="6">
        <v>2170689147</v>
      </c>
      <c r="F2467" s="6" t="s">
        <v>16</v>
      </c>
      <c r="G2467" s="6" t="s">
        <v>17</v>
      </c>
      <c r="H2467" s="6" t="s">
        <v>17</v>
      </c>
      <c r="I2467" s="6" t="s">
        <v>701</v>
      </c>
      <c r="J2467" s="6" t="s">
        <v>702</v>
      </c>
      <c r="K2467" s="7">
        <v>43606</v>
      </c>
      <c r="L2467" s="8">
        <v>0.47222222222222227</v>
      </c>
      <c r="M2467" s="6" t="s">
        <v>3653</v>
      </c>
      <c r="N2467" s="6" t="s">
        <v>21</v>
      </c>
      <c r="O2467" s="6" t="s">
        <v>22</v>
      </c>
    </row>
    <row r="2468" spans="1:15">
      <c r="A2468" s="6" t="s">
        <v>15</v>
      </c>
      <c r="B2468" s="6" t="str">
        <f>"FES1162690628"</f>
        <v>FES1162690628</v>
      </c>
      <c r="C2468" s="7">
        <v>43605</v>
      </c>
      <c r="D2468" s="6">
        <v>1</v>
      </c>
      <c r="E2468" s="6">
        <v>2170689107</v>
      </c>
      <c r="F2468" s="6" t="s">
        <v>16</v>
      </c>
      <c r="G2468" s="6" t="s">
        <v>17</v>
      </c>
      <c r="H2468" s="6" t="s">
        <v>17</v>
      </c>
      <c r="I2468" s="6" t="s">
        <v>701</v>
      </c>
      <c r="J2468" s="6" t="s">
        <v>702</v>
      </c>
      <c r="K2468" s="7">
        <v>43606</v>
      </c>
      <c r="L2468" s="8">
        <v>0.47222222222222227</v>
      </c>
      <c r="M2468" s="6" t="s">
        <v>3653</v>
      </c>
      <c r="N2468" s="6" t="s">
        <v>21</v>
      </c>
      <c r="O2468" s="6" t="s">
        <v>22</v>
      </c>
    </row>
    <row r="2469" spans="1:15" hidden="1">
      <c r="A2469" t="s">
        <v>15</v>
      </c>
      <c r="B2469" t="str">
        <f>"FES1162690674"</f>
        <v>FES1162690674</v>
      </c>
      <c r="C2469" s="9">
        <v>43605</v>
      </c>
      <c r="D2469">
        <v>1</v>
      </c>
      <c r="E2469">
        <v>2170689172</v>
      </c>
      <c r="F2469" t="s">
        <v>16</v>
      </c>
      <c r="G2469" t="s">
        <v>17</v>
      </c>
      <c r="H2469" t="s">
        <v>290</v>
      </c>
      <c r="I2469" t="s">
        <v>601</v>
      </c>
      <c r="J2469" t="s">
        <v>602</v>
      </c>
      <c r="K2469" s="9">
        <v>43606</v>
      </c>
      <c r="L2469" s="10">
        <v>0.51388888888888895</v>
      </c>
      <c r="M2469" t="s">
        <v>77</v>
      </c>
      <c r="N2469" t="s">
        <v>3654</v>
      </c>
      <c r="O2469" t="s">
        <v>22</v>
      </c>
    </row>
    <row r="2470" spans="1:15">
      <c r="A2470" s="6" t="s">
        <v>15</v>
      </c>
      <c r="B2470" s="6" t="str">
        <f>"FES1162690651"</f>
        <v>FES1162690651</v>
      </c>
      <c r="C2470" s="7">
        <v>43605</v>
      </c>
      <c r="D2470" s="6">
        <v>1</v>
      </c>
      <c r="E2470" s="6">
        <v>2170689143</v>
      </c>
      <c r="F2470" s="6" t="s">
        <v>16</v>
      </c>
      <c r="G2470" s="6" t="s">
        <v>17</v>
      </c>
      <c r="H2470" s="6" t="s">
        <v>17</v>
      </c>
      <c r="I2470" s="6" t="s">
        <v>18</v>
      </c>
      <c r="J2470" s="6" t="s">
        <v>19</v>
      </c>
      <c r="K2470" s="7">
        <v>43606</v>
      </c>
      <c r="L2470" s="8">
        <v>0.41944444444444445</v>
      </c>
      <c r="M2470" s="6" t="s">
        <v>2039</v>
      </c>
      <c r="N2470" s="6" t="s">
        <v>21</v>
      </c>
      <c r="O2470" s="6" t="s">
        <v>22</v>
      </c>
    </row>
    <row r="2471" spans="1:15">
      <c r="A2471" s="6" t="s">
        <v>15</v>
      </c>
      <c r="B2471" s="6" t="str">
        <f>"FES1162690647"</f>
        <v>FES1162690647</v>
      </c>
      <c r="C2471" s="7">
        <v>43605</v>
      </c>
      <c r="D2471" s="6">
        <v>1</v>
      </c>
      <c r="E2471" s="6">
        <v>2170689138</v>
      </c>
      <c r="F2471" s="6" t="s">
        <v>16</v>
      </c>
      <c r="G2471" s="6" t="s">
        <v>17</v>
      </c>
      <c r="H2471" s="6" t="s">
        <v>17</v>
      </c>
      <c r="I2471" s="6" t="s">
        <v>64</v>
      </c>
      <c r="J2471" s="6" t="s">
        <v>1434</v>
      </c>
      <c r="K2471" s="7">
        <v>43606</v>
      </c>
      <c r="L2471" s="8">
        <v>0.33333333333333331</v>
      </c>
      <c r="M2471" s="6" t="s">
        <v>3655</v>
      </c>
      <c r="N2471" s="6" t="s">
        <v>21</v>
      </c>
      <c r="O2471" s="6" t="s">
        <v>22</v>
      </c>
    </row>
    <row r="2472" spans="1:15" hidden="1">
      <c r="A2472" t="s">
        <v>15</v>
      </c>
      <c r="B2472" t="str">
        <f>"FES1162690677"</f>
        <v>FES1162690677</v>
      </c>
      <c r="C2472" s="9">
        <v>43605</v>
      </c>
      <c r="D2472">
        <v>1</v>
      </c>
      <c r="E2472">
        <v>21706876106</v>
      </c>
      <c r="F2472" t="s">
        <v>16</v>
      </c>
      <c r="G2472" t="s">
        <v>17</v>
      </c>
      <c r="H2472" t="s">
        <v>32</v>
      </c>
      <c r="I2472" t="s">
        <v>33</v>
      </c>
      <c r="J2472" t="s">
        <v>3223</v>
      </c>
      <c r="K2472" s="9">
        <v>43606</v>
      </c>
      <c r="L2472" s="10">
        <v>0.375</v>
      </c>
      <c r="M2472" t="s">
        <v>3656</v>
      </c>
      <c r="N2472" t="s">
        <v>3657</v>
      </c>
      <c r="O2472" t="s">
        <v>22</v>
      </c>
    </row>
    <row r="2473" spans="1:15" hidden="1">
      <c r="A2473" t="s">
        <v>15</v>
      </c>
      <c r="B2473" t="str">
        <f>"FES1162690670"</f>
        <v>FES1162690670</v>
      </c>
      <c r="C2473" s="9">
        <v>43605</v>
      </c>
      <c r="D2473">
        <v>1</v>
      </c>
      <c r="E2473">
        <v>2170689167</v>
      </c>
      <c r="F2473" t="s">
        <v>16</v>
      </c>
      <c r="G2473" t="s">
        <v>17</v>
      </c>
      <c r="H2473" t="s">
        <v>141</v>
      </c>
      <c r="I2473" t="s">
        <v>448</v>
      </c>
      <c r="J2473" t="s">
        <v>979</v>
      </c>
      <c r="K2473" s="9">
        <v>43606</v>
      </c>
      <c r="L2473" s="10">
        <v>0.40763888888888888</v>
      </c>
      <c r="M2473" t="s">
        <v>2395</v>
      </c>
      <c r="N2473" t="s">
        <v>3658</v>
      </c>
      <c r="O2473" t="s">
        <v>22</v>
      </c>
    </row>
    <row r="2474" spans="1:15" hidden="1">
      <c r="A2474" t="s">
        <v>15</v>
      </c>
      <c r="B2474" t="str">
        <f>"FES1162690697"</f>
        <v>FES1162690697</v>
      </c>
      <c r="C2474" s="9">
        <v>43605</v>
      </c>
      <c r="D2474">
        <v>1</v>
      </c>
      <c r="E2474">
        <v>2170689191</v>
      </c>
      <c r="F2474" t="s">
        <v>16</v>
      </c>
      <c r="G2474" t="s">
        <v>17</v>
      </c>
      <c r="H2474" t="s">
        <v>43</v>
      </c>
      <c r="I2474" t="s">
        <v>44</v>
      </c>
      <c r="J2474" t="s">
        <v>3659</v>
      </c>
      <c r="K2474" s="9">
        <v>43606</v>
      </c>
      <c r="L2474" s="10">
        <v>0.3298611111111111</v>
      </c>
      <c r="M2474" t="s">
        <v>94</v>
      </c>
      <c r="N2474" t="s">
        <v>3660</v>
      </c>
      <c r="O2474" t="s">
        <v>22</v>
      </c>
    </row>
    <row r="2475" spans="1:15">
      <c r="A2475" s="6" t="s">
        <v>15</v>
      </c>
      <c r="B2475" s="6" t="str">
        <f>"FES1162690699"</f>
        <v>FES1162690699</v>
      </c>
      <c r="C2475" s="7">
        <v>43605</v>
      </c>
      <c r="D2475" s="6">
        <v>1</v>
      </c>
      <c r="E2475" s="6">
        <v>2170683452</v>
      </c>
      <c r="F2475" s="6" t="s">
        <v>16</v>
      </c>
      <c r="G2475" s="6" t="s">
        <v>17</v>
      </c>
      <c r="H2475" s="6" t="s">
        <v>17</v>
      </c>
      <c r="I2475" s="6" t="s">
        <v>29</v>
      </c>
      <c r="J2475" s="6" t="s">
        <v>109</v>
      </c>
      <c r="K2475" s="7">
        <v>43606</v>
      </c>
      <c r="L2475" s="8">
        <v>0.375</v>
      </c>
      <c r="M2475" s="6" t="s">
        <v>1277</v>
      </c>
      <c r="N2475" s="6" t="s">
        <v>21</v>
      </c>
      <c r="O2475" s="6" t="s">
        <v>22</v>
      </c>
    </row>
    <row r="2476" spans="1:15" hidden="1">
      <c r="A2476" t="s">
        <v>15</v>
      </c>
      <c r="B2476" t="str">
        <f>"FES1162690712"</f>
        <v>FES1162690712</v>
      </c>
      <c r="C2476" s="9">
        <v>43605</v>
      </c>
      <c r="D2476">
        <v>1</v>
      </c>
      <c r="E2476">
        <v>2170689206</v>
      </c>
      <c r="F2476" t="s">
        <v>16</v>
      </c>
      <c r="G2476" t="s">
        <v>17</v>
      </c>
      <c r="H2476" t="s">
        <v>32</v>
      </c>
      <c r="I2476" t="s">
        <v>33</v>
      </c>
      <c r="J2476" t="s">
        <v>357</v>
      </c>
      <c r="K2476" s="9">
        <v>43606</v>
      </c>
      <c r="L2476" s="10">
        <v>0.41666666666666669</v>
      </c>
      <c r="M2476" t="s">
        <v>1051</v>
      </c>
      <c r="N2476" t="s">
        <v>3661</v>
      </c>
      <c r="O2476" t="s">
        <v>22</v>
      </c>
    </row>
    <row r="2477" spans="1:15" hidden="1">
      <c r="A2477" t="s">
        <v>15</v>
      </c>
      <c r="B2477" t="str">
        <f>"FES1162690719"</f>
        <v>FES1162690719</v>
      </c>
      <c r="C2477" s="9">
        <v>43605</v>
      </c>
      <c r="D2477">
        <v>1</v>
      </c>
      <c r="E2477">
        <v>2170689214</v>
      </c>
      <c r="F2477" t="s">
        <v>16</v>
      </c>
      <c r="G2477" t="s">
        <v>17</v>
      </c>
      <c r="H2477" t="s">
        <v>32</v>
      </c>
      <c r="I2477" t="s">
        <v>33</v>
      </c>
      <c r="J2477" t="s">
        <v>3662</v>
      </c>
      <c r="K2477" s="9">
        <v>43606</v>
      </c>
      <c r="L2477" s="10">
        <v>0.38194444444444442</v>
      </c>
      <c r="M2477" t="s">
        <v>3663</v>
      </c>
      <c r="N2477" t="s">
        <v>3664</v>
      </c>
      <c r="O2477" t="s">
        <v>22</v>
      </c>
    </row>
    <row r="2478" spans="1:15" hidden="1">
      <c r="A2478" t="s">
        <v>15</v>
      </c>
      <c r="B2478" t="str">
        <f>"FES1162690721"</f>
        <v>FES1162690721</v>
      </c>
      <c r="C2478" s="9">
        <v>43605</v>
      </c>
      <c r="D2478">
        <v>1</v>
      </c>
      <c r="E2478">
        <v>2170689218</v>
      </c>
      <c r="F2478" t="s">
        <v>16</v>
      </c>
      <c r="G2478" t="s">
        <v>17</v>
      </c>
      <c r="H2478" t="s">
        <v>37</v>
      </c>
      <c r="I2478" t="s">
        <v>38</v>
      </c>
      <c r="J2478" t="s">
        <v>1512</v>
      </c>
      <c r="K2478" s="9">
        <v>43606</v>
      </c>
      <c r="L2478" s="10">
        <v>0.34583333333333338</v>
      </c>
      <c r="M2478" t="s">
        <v>3665</v>
      </c>
      <c r="N2478" t="s">
        <v>3666</v>
      </c>
      <c r="O2478" t="s">
        <v>22</v>
      </c>
    </row>
    <row r="2479" spans="1:15" hidden="1">
      <c r="A2479" t="s">
        <v>15</v>
      </c>
      <c r="B2479" t="str">
        <f>"FES1162690725"</f>
        <v>FES1162690725</v>
      </c>
      <c r="C2479" s="9">
        <v>43605</v>
      </c>
      <c r="D2479">
        <v>1</v>
      </c>
      <c r="E2479">
        <v>2170689219</v>
      </c>
      <c r="F2479" t="s">
        <v>16</v>
      </c>
      <c r="G2479" t="s">
        <v>17</v>
      </c>
      <c r="H2479" t="s">
        <v>43</v>
      </c>
      <c r="I2479" t="s">
        <v>44</v>
      </c>
      <c r="J2479" t="s">
        <v>51</v>
      </c>
      <c r="K2479" s="9">
        <v>43606</v>
      </c>
      <c r="L2479" s="10">
        <v>0.36388888888888887</v>
      </c>
      <c r="M2479" t="s">
        <v>646</v>
      </c>
      <c r="N2479" t="s">
        <v>3667</v>
      </c>
      <c r="O2479" t="s">
        <v>22</v>
      </c>
    </row>
    <row r="2480" spans="1:15" hidden="1">
      <c r="A2480" t="s">
        <v>15</v>
      </c>
      <c r="B2480" t="str">
        <f>"FES1162690720"</f>
        <v>FES1162690720</v>
      </c>
      <c r="C2480" s="9">
        <v>43605</v>
      </c>
      <c r="D2480">
        <v>1</v>
      </c>
      <c r="E2480">
        <v>2170689217</v>
      </c>
      <c r="F2480" t="s">
        <v>16</v>
      </c>
      <c r="G2480" t="s">
        <v>17</v>
      </c>
      <c r="H2480" t="s">
        <v>141</v>
      </c>
      <c r="I2480" t="s">
        <v>464</v>
      </c>
      <c r="J2480" t="s">
        <v>465</v>
      </c>
      <c r="K2480" s="9">
        <v>43606</v>
      </c>
      <c r="L2480" s="10">
        <v>0.40833333333333338</v>
      </c>
      <c r="M2480" t="s">
        <v>2459</v>
      </c>
      <c r="N2480" t="s">
        <v>3668</v>
      </c>
      <c r="O2480" t="s">
        <v>22</v>
      </c>
    </row>
    <row r="2481" spans="1:15" hidden="1">
      <c r="A2481" t="s">
        <v>15</v>
      </c>
      <c r="B2481" t="str">
        <f>"FES1162690717"</f>
        <v>FES1162690717</v>
      </c>
      <c r="C2481" s="9">
        <v>43605</v>
      </c>
      <c r="D2481">
        <v>1</v>
      </c>
      <c r="E2481">
        <v>2170689212</v>
      </c>
      <c r="F2481" t="s">
        <v>16</v>
      </c>
      <c r="G2481" t="s">
        <v>17</v>
      </c>
      <c r="H2481" t="s">
        <v>141</v>
      </c>
      <c r="I2481" t="s">
        <v>185</v>
      </c>
      <c r="J2481" t="s">
        <v>186</v>
      </c>
      <c r="K2481" s="9">
        <v>43606</v>
      </c>
      <c r="L2481" s="10">
        <v>0.39999999999999997</v>
      </c>
      <c r="M2481" t="s">
        <v>1305</v>
      </c>
      <c r="N2481" t="s">
        <v>3669</v>
      </c>
      <c r="O2481" t="s">
        <v>22</v>
      </c>
    </row>
    <row r="2482" spans="1:15" hidden="1">
      <c r="A2482" t="s">
        <v>15</v>
      </c>
      <c r="B2482" t="str">
        <f>"FES1162690709"</f>
        <v>FES1162690709</v>
      </c>
      <c r="C2482" s="9">
        <v>43605</v>
      </c>
      <c r="D2482">
        <v>1</v>
      </c>
      <c r="E2482">
        <v>2170687069</v>
      </c>
      <c r="F2482" t="s">
        <v>16</v>
      </c>
      <c r="G2482" t="s">
        <v>17</v>
      </c>
      <c r="H2482" t="s">
        <v>290</v>
      </c>
      <c r="I2482" t="s">
        <v>291</v>
      </c>
      <c r="J2482" t="s">
        <v>3670</v>
      </c>
      <c r="K2482" s="9">
        <v>43606</v>
      </c>
      <c r="L2482" s="10">
        <v>0.43402777777777773</v>
      </c>
      <c r="M2482" t="s">
        <v>3671</v>
      </c>
      <c r="N2482" t="s">
        <v>3672</v>
      </c>
      <c r="O2482" t="s">
        <v>22</v>
      </c>
    </row>
    <row r="2483" spans="1:15" hidden="1">
      <c r="A2483" t="s">
        <v>15</v>
      </c>
      <c r="B2483" t="str">
        <f>"FES1162690711"</f>
        <v>FES1162690711</v>
      </c>
      <c r="C2483" s="9">
        <v>43605</v>
      </c>
      <c r="D2483">
        <v>1</v>
      </c>
      <c r="E2483">
        <v>2170689204</v>
      </c>
      <c r="F2483" t="s">
        <v>16</v>
      </c>
      <c r="G2483" t="s">
        <v>17</v>
      </c>
      <c r="H2483" t="s">
        <v>141</v>
      </c>
      <c r="I2483" t="s">
        <v>142</v>
      </c>
      <c r="J2483" t="s">
        <v>228</v>
      </c>
      <c r="K2483" s="9">
        <v>43606</v>
      </c>
      <c r="L2483" s="10">
        <v>0.35555555555555557</v>
      </c>
      <c r="M2483" t="s">
        <v>229</v>
      </c>
      <c r="N2483" t="s">
        <v>3673</v>
      </c>
      <c r="O2483" t="s">
        <v>22</v>
      </c>
    </row>
    <row r="2484" spans="1:15" hidden="1">
      <c r="A2484" t="s">
        <v>15</v>
      </c>
      <c r="B2484" t="str">
        <f>"FES1162690700"</f>
        <v>FES1162690700</v>
      </c>
      <c r="C2484" s="9">
        <v>43605</v>
      </c>
      <c r="D2484">
        <v>1</v>
      </c>
      <c r="E2484">
        <v>2170689195</v>
      </c>
      <c r="F2484" t="s">
        <v>16</v>
      </c>
      <c r="G2484" t="s">
        <v>17</v>
      </c>
      <c r="H2484" t="s">
        <v>37</v>
      </c>
      <c r="I2484" t="s">
        <v>38</v>
      </c>
      <c r="J2484" t="s">
        <v>1771</v>
      </c>
      <c r="K2484" s="9">
        <v>43606</v>
      </c>
      <c r="L2484" s="10">
        <v>0.41666666666666669</v>
      </c>
      <c r="M2484" t="s">
        <v>1430</v>
      </c>
      <c r="N2484" t="s">
        <v>3674</v>
      </c>
      <c r="O2484" t="s">
        <v>22</v>
      </c>
    </row>
    <row r="2485" spans="1:15" hidden="1">
      <c r="A2485" t="s">
        <v>15</v>
      </c>
      <c r="B2485" t="str">
        <f>"FES1162690695"</f>
        <v>FES1162690695</v>
      </c>
      <c r="C2485" s="9">
        <v>43605</v>
      </c>
      <c r="D2485">
        <v>1</v>
      </c>
      <c r="E2485">
        <v>2170689188</v>
      </c>
      <c r="F2485" t="s">
        <v>16</v>
      </c>
      <c r="G2485" t="s">
        <v>17</v>
      </c>
      <c r="H2485" t="s">
        <v>43</v>
      </c>
      <c r="I2485" t="s">
        <v>44</v>
      </c>
      <c r="J2485" t="s">
        <v>798</v>
      </c>
      <c r="K2485" s="9">
        <v>43606</v>
      </c>
      <c r="L2485" s="10">
        <v>0.41666666666666669</v>
      </c>
      <c r="M2485" t="s">
        <v>3675</v>
      </c>
      <c r="N2485" t="s">
        <v>3676</v>
      </c>
      <c r="O2485" t="s">
        <v>22</v>
      </c>
    </row>
    <row r="2486" spans="1:15" hidden="1">
      <c r="A2486" t="s">
        <v>15</v>
      </c>
      <c r="B2486" t="str">
        <f>"FES1162690693"</f>
        <v>FES1162690693</v>
      </c>
      <c r="C2486" s="9">
        <v>43605</v>
      </c>
      <c r="D2486">
        <v>1</v>
      </c>
      <c r="E2486">
        <v>2170688767</v>
      </c>
      <c r="F2486" t="s">
        <v>16</v>
      </c>
      <c r="G2486" t="s">
        <v>17</v>
      </c>
      <c r="H2486" t="s">
        <v>43</v>
      </c>
      <c r="I2486" t="s">
        <v>738</v>
      </c>
      <c r="J2486" t="s">
        <v>339</v>
      </c>
      <c r="K2486" s="9">
        <v>43606</v>
      </c>
      <c r="L2486" s="10">
        <v>0.39999999999999997</v>
      </c>
      <c r="M2486" t="s">
        <v>1483</v>
      </c>
      <c r="N2486" t="s">
        <v>3677</v>
      </c>
      <c r="O2486" t="s">
        <v>22</v>
      </c>
    </row>
    <row r="2487" spans="1:15" hidden="1">
      <c r="A2487" t="s">
        <v>15</v>
      </c>
      <c r="B2487" t="str">
        <f>"FES1162690718"</f>
        <v>FES1162690718</v>
      </c>
      <c r="C2487" s="9">
        <v>43605</v>
      </c>
      <c r="D2487">
        <v>1</v>
      </c>
      <c r="E2487">
        <v>2170689213</v>
      </c>
      <c r="F2487" t="s">
        <v>16</v>
      </c>
      <c r="G2487" t="s">
        <v>17</v>
      </c>
      <c r="H2487" t="s">
        <v>43</v>
      </c>
      <c r="I2487" t="s">
        <v>44</v>
      </c>
      <c r="J2487" t="s">
        <v>51</v>
      </c>
      <c r="K2487" s="9">
        <v>43606</v>
      </c>
      <c r="L2487" s="10">
        <v>0.36319444444444443</v>
      </c>
      <c r="M2487" t="s">
        <v>646</v>
      </c>
      <c r="N2487" t="s">
        <v>3678</v>
      </c>
      <c r="O2487" t="s">
        <v>22</v>
      </c>
    </row>
    <row r="2488" spans="1:15" hidden="1">
      <c r="A2488" t="s">
        <v>15</v>
      </c>
      <c r="B2488" t="str">
        <f>"FES1162690680"</f>
        <v>FES1162690680</v>
      </c>
      <c r="C2488" s="9">
        <v>43605</v>
      </c>
      <c r="D2488">
        <v>1</v>
      </c>
      <c r="E2488">
        <v>2170688762</v>
      </c>
      <c r="F2488" t="s">
        <v>16</v>
      </c>
      <c r="G2488" t="s">
        <v>17</v>
      </c>
      <c r="H2488" t="s">
        <v>43</v>
      </c>
      <c r="I2488" t="s">
        <v>44</v>
      </c>
      <c r="J2488" t="s">
        <v>72</v>
      </c>
      <c r="K2488" s="9">
        <v>43606</v>
      </c>
      <c r="L2488" s="10">
        <v>0.46597222222222223</v>
      </c>
      <c r="M2488" t="s">
        <v>1100</v>
      </c>
      <c r="N2488" t="s">
        <v>3679</v>
      </c>
      <c r="O2488" t="s">
        <v>22</v>
      </c>
    </row>
    <row r="2489" spans="1:15" hidden="1">
      <c r="A2489" t="s">
        <v>15</v>
      </c>
      <c r="B2489" t="str">
        <f>"FES1162690706"</f>
        <v>FES1162690706</v>
      </c>
      <c r="C2489" s="9">
        <v>43605</v>
      </c>
      <c r="D2489">
        <v>1</v>
      </c>
      <c r="E2489">
        <v>2170689202</v>
      </c>
      <c r="F2489" t="s">
        <v>16</v>
      </c>
      <c r="G2489" t="s">
        <v>17</v>
      </c>
      <c r="H2489" t="s">
        <v>43</v>
      </c>
      <c r="I2489" t="s">
        <v>44</v>
      </c>
      <c r="J2489" t="s">
        <v>48</v>
      </c>
      <c r="K2489" s="9">
        <v>43606</v>
      </c>
      <c r="L2489" s="10">
        <v>0.33958333333333335</v>
      </c>
      <c r="M2489" t="s">
        <v>3253</v>
      </c>
      <c r="N2489" t="s">
        <v>3680</v>
      </c>
      <c r="O2489" t="s">
        <v>22</v>
      </c>
    </row>
    <row r="2490" spans="1:15" hidden="1">
      <c r="A2490" t="s">
        <v>15</v>
      </c>
      <c r="B2490" t="str">
        <f>"FES1162690672"</f>
        <v>FES1162690672</v>
      </c>
      <c r="C2490" s="9">
        <v>43605</v>
      </c>
      <c r="D2490">
        <v>3</v>
      </c>
      <c r="E2490">
        <v>2170689170</v>
      </c>
      <c r="F2490" t="s">
        <v>58</v>
      </c>
      <c r="G2490" t="s">
        <v>59</v>
      </c>
      <c r="H2490" t="s">
        <v>59</v>
      </c>
      <c r="I2490" t="s">
        <v>935</v>
      </c>
      <c r="J2490" t="s">
        <v>936</v>
      </c>
      <c r="K2490" s="9">
        <v>43606</v>
      </c>
      <c r="L2490" s="10">
        <v>0.33333333333333331</v>
      </c>
      <c r="M2490" t="s">
        <v>3681</v>
      </c>
      <c r="N2490" t="s">
        <v>3682</v>
      </c>
      <c r="O2490" t="s">
        <v>494</v>
      </c>
    </row>
    <row r="2491" spans="1:15" hidden="1">
      <c r="A2491" t="s">
        <v>15</v>
      </c>
      <c r="B2491" t="str">
        <f>"FES1162690736"</f>
        <v>FES1162690736</v>
      </c>
      <c r="C2491" s="9">
        <v>43605</v>
      </c>
      <c r="D2491">
        <v>1</v>
      </c>
      <c r="E2491">
        <v>2170685615</v>
      </c>
      <c r="F2491" t="s">
        <v>16</v>
      </c>
      <c r="G2491" t="s">
        <v>17</v>
      </c>
      <c r="H2491" t="s">
        <v>290</v>
      </c>
      <c r="I2491" t="s">
        <v>291</v>
      </c>
      <c r="J2491" t="s">
        <v>3683</v>
      </c>
      <c r="K2491" s="9">
        <v>43607</v>
      </c>
      <c r="L2491" s="10">
        <v>0.33333333333333331</v>
      </c>
      <c r="M2491" t="s">
        <v>913</v>
      </c>
      <c r="N2491" t="s">
        <v>3684</v>
      </c>
      <c r="O2491" t="s">
        <v>22</v>
      </c>
    </row>
    <row r="2492" spans="1:15" hidden="1">
      <c r="A2492" t="s">
        <v>15</v>
      </c>
      <c r="B2492" t="str">
        <f>"FES1162690726"</f>
        <v>FES1162690726</v>
      </c>
      <c r="C2492" s="9">
        <v>43605</v>
      </c>
      <c r="D2492">
        <v>1</v>
      </c>
      <c r="E2492">
        <v>2170689220</v>
      </c>
      <c r="F2492" t="s">
        <v>16</v>
      </c>
      <c r="G2492" t="s">
        <v>17</v>
      </c>
      <c r="H2492" t="s">
        <v>141</v>
      </c>
      <c r="I2492" t="s">
        <v>448</v>
      </c>
      <c r="J2492" t="s">
        <v>979</v>
      </c>
      <c r="K2492" s="9">
        <v>43606</v>
      </c>
      <c r="L2492" s="10">
        <v>0.40763888888888888</v>
      </c>
      <c r="M2492" t="s">
        <v>2395</v>
      </c>
      <c r="N2492" t="s">
        <v>3685</v>
      </c>
      <c r="O2492" t="s">
        <v>22</v>
      </c>
    </row>
    <row r="2493" spans="1:15" hidden="1">
      <c r="A2493" t="s">
        <v>15</v>
      </c>
      <c r="B2493" t="str">
        <f>"FES1162690679"</f>
        <v>FES1162690679</v>
      </c>
      <c r="C2493" s="9">
        <v>43605</v>
      </c>
      <c r="D2493">
        <v>1</v>
      </c>
      <c r="E2493">
        <v>2170688754</v>
      </c>
      <c r="F2493" t="s">
        <v>16</v>
      </c>
      <c r="G2493" t="s">
        <v>17</v>
      </c>
      <c r="H2493" t="s">
        <v>32</v>
      </c>
      <c r="I2493" t="s">
        <v>33</v>
      </c>
      <c r="J2493" t="s">
        <v>790</v>
      </c>
      <c r="K2493" s="9">
        <v>43606</v>
      </c>
      <c r="L2493" s="10">
        <v>0.3743055555555555</v>
      </c>
      <c r="M2493" t="s">
        <v>791</v>
      </c>
      <c r="N2493" t="s">
        <v>3686</v>
      </c>
      <c r="O2493" t="s">
        <v>22</v>
      </c>
    </row>
    <row r="2494" spans="1:15" hidden="1">
      <c r="A2494" t="s">
        <v>15</v>
      </c>
      <c r="B2494" t="str">
        <f>"FES1162690728"</f>
        <v>FES1162690728</v>
      </c>
      <c r="C2494" s="9">
        <v>43605</v>
      </c>
      <c r="D2494">
        <v>1</v>
      </c>
      <c r="E2494">
        <v>2170689224</v>
      </c>
      <c r="F2494" t="s">
        <v>16</v>
      </c>
      <c r="G2494" t="s">
        <v>17</v>
      </c>
      <c r="H2494" t="s">
        <v>43</v>
      </c>
      <c r="I2494" t="s">
        <v>44</v>
      </c>
      <c r="J2494" t="s">
        <v>336</v>
      </c>
      <c r="K2494" s="9">
        <v>43606</v>
      </c>
      <c r="L2494" s="10">
        <v>0.38263888888888892</v>
      </c>
      <c r="M2494" t="s">
        <v>1502</v>
      </c>
      <c r="N2494" t="s">
        <v>3687</v>
      </c>
      <c r="O2494" t="s">
        <v>22</v>
      </c>
    </row>
    <row r="2495" spans="1:15">
      <c r="A2495" s="6" t="s">
        <v>15</v>
      </c>
      <c r="B2495" s="6" t="str">
        <f>"FES1162690733"</f>
        <v>FES1162690733</v>
      </c>
      <c r="C2495" s="7">
        <v>43605</v>
      </c>
      <c r="D2495" s="6">
        <v>1</v>
      </c>
      <c r="E2495" s="6">
        <v>2170683792</v>
      </c>
      <c r="F2495" s="6" t="s">
        <v>16</v>
      </c>
      <c r="G2495" s="6" t="s">
        <v>17</v>
      </c>
      <c r="H2495" s="6" t="s">
        <v>17</v>
      </c>
      <c r="I2495" s="6" t="s">
        <v>64</v>
      </c>
      <c r="J2495" s="6" t="s">
        <v>1742</v>
      </c>
      <c r="K2495" s="7">
        <v>43606</v>
      </c>
      <c r="L2495" s="8">
        <v>0.39583333333333331</v>
      </c>
      <c r="M2495" s="6" t="s">
        <v>1743</v>
      </c>
      <c r="N2495" s="6" t="s">
        <v>21</v>
      </c>
      <c r="O2495" s="6" t="s">
        <v>22</v>
      </c>
    </row>
    <row r="2496" spans="1:15">
      <c r="A2496" s="6" t="s">
        <v>15</v>
      </c>
      <c r="B2496" s="6" t="str">
        <f>"FES1162690676"</f>
        <v>FES1162690676</v>
      </c>
      <c r="C2496" s="7">
        <v>43605</v>
      </c>
      <c r="D2496" s="6">
        <v>1</v>
      </c>
      <c r="E2496" s="6">
        <v>2170689174</v>
      </c>
      <c r="F2496" s="6" t="s">
        <v>16</v>
      </c>
      <c r="G2496" s="6" t="s">
        <v>17</v>
      </c>
      <c r="H2496" s="6" t="s">
        <v>17</v>
      </c>
      <c r="I2496" s="6" t="s">
        <v>103</v>
      </c>
      <c r="J2496" s="6" t="s">
        <v>104</v>
      </c>
      <c r="K2496" s="7">
        <v>43606</v>
      </c>
      <c r="L2496" s="8">
        <v>0.4236111111111111</v>
      </c>
      <c r="M2496" s="6" t="s">
        <v>325</v>
      </c>
      <c r="N2496" s="6" t="s">
        <v>21</v>
      </c>
      <c r="O2496" s="6" t="s">
        <v>22</v>
      </c>
    </row>
    <row r="2497" spans="1:15" hidden="1">
      <c r="A2497" t="s">
        <v>15</v>
      </c>
      <c r="B2497" t="str">
        <f>"FES1162690708"</f>
        <v>FES1162690708</v>
      </c>
      <c r="C2497" s="9">
        <v>43605</v>
      </c>
      <c r="D2497">
        <v>1</v>
      </c>
      <c r="E2497">
        <v>2170685888</v>
      </c>
      <c r="F2497" t="s">
        <v>16</v>
      </c>
      <c r="G2497" t="s">
        <v>17</v>
      </c>
      <c r="H2497" t="s">
        <v>290</v>
      </c>
      <c r="I2497" t="s">
        <v>316</v>
      </c>
      <c r="J2497" t="s">
        <v>317</v>
      </c>
      <c r="K2497" s="9">
        <v>43606</v>
      </c>
      <c r="L2497" s="10">
        <v>0.41666666666666669</v>
      </c>
      <c r="M2497" t="s">
        <v>92</v>
      </c>
      <c r="N2497" t="s">
        <v>3688</v>
      </c>
      <c r="O2497" t="s">
        <v>22</v>
      </c>
    </row>
    <row r="2498" spans="1:15" hidden="1">
      <c r="A2498" t="s">
        <v>15</v>
      </c>
      <c r="B2498" t="str">
        <f>"FES1162690742"</f>
        <v>FES1162690742</v>
      </c>
      <c r="C2498" s="9">
        <v>43605</v>
      </c>
      <c r="D2498">
        <v>1</v>
      </c>
      <c r="E2498">
        <v>2170689225</v>
      </c>
      <c r="F2498" t="s">
        <v>16</v>
      </c>
      <c r="G2498" t="s">
        <v>17</v>
      </c>
      <c r="H2498" t="s">
        <v>43</v>
      </c>
      <c r="I2498" t="s">
        <v>44</v>
      </c>
      <c r="J2498" t="s">
        <v>1284</v>
      </c>
      <c r="K2498" s="9">
        <v>43606</v>
      </c>
      <c r="L2498" s="10">
        <v>0.35972222222222222</v>
      </c>
      <c r="M2498" t="s">
        <v>3689</v>
      </c>
      <c r="N2498" t="s">
        <v>3690</v>
      </c>
      <c r="O2498" t="s">
        <v>22</v>
      </c>
    </row>
    <row r="2499" spans="1:15" hidden="1">
      <c r="A2499" t="s">
        <v>15</v>
      </c>
      <c r="B2499" t="str">
        <f>"FES1162690731"</f>
        <v>FES1162690731</v>
      </c>
      <c r="C2499" s="9">
        <v>43605</v>
      </c>
      <c r="D2499">
        <v>1</v>
      </c>
      <c r="E2499">
        <v>2170689229</v>
      </c>
      <c r="F2499" t="s">
        <v>16</v>
      </c>
      <c r="G2499" t="s">
        <v>17</v>
      </c>
      <c r="H2499" t="s">
        <v>43</v>
      </c>
      <c r="I2499" t="s">
        <v>75</v>
      </c>
      <c r="J2499" t="s">
        <v>811</v>
      </c>
      <c r="K2499" s="9">
        <v>43606</v>
      </c>
      <c r="L2499" s="10">
        <v>0.47361111111111115</v>
      </c>
      <c r="M2499" t="s">
        <v>1167</v>
      </c>
      <c r="N2499" t="s">
        <v>3691</v>
      </c>
      <c r="O2499" t="s">
        <v>22</v>
      </c>
    </row>
    <row r="2500" spans="1:15" hidden="1">
      <c r="A2500" t="s">
        <v>15</v>
      </c>
      <c r="B2500" t="str">
        <f>"FES1162690751"</f>
        <v>FES1162690751</v>
      </c>
      <c r="C2500" s="9">
        <v>43605</v>
      </c>
      <c r="D2500">
        <v>1</v>
      </c>
      <c r="E2500">
        <v>2170689238</v>
      </c>
      <c r="F2500" t="s">
        <v>16</v>
      </c>
      <c r="G2500" t="s">
        <v>17</v>
      </c>
      <c r="H2500" t="s">
        <v>43</v>
      </c>
      <c r="I2500" t="s">
        <v>44</v>
      </c>
      <c r="J2500" t="s">
        <v>207</v>
      </c>
      <c r="K2500" s="9">
        <v>43606</v>
      </c>
      <c r="L2500" s="10">
        <v>0.41666666666666669</v>
      </c>
      <c r="M2500" t="s">
        <v>3692</v>
      </c>
      <c r="N2500" t="s">
        <v>3693</v>
      </c>
      <c r="O2500" t="s">
        <v>22</v>
      </c>
    </row>
    <row r="2501" spans="1:15" hidden="1">
      <c r="A2501" t="s">
        <v>15</v>
      </c>
      <c r="B2501" t="str">
        <f>"FES1162690704"</f>
        <v>FES1162690704</v>
      </c>
      <c r="C2501" s="9">
        <v>43605</v>
      </c>
      <c r="D2501">
        <v>2</v>
      </c>
      <c r="E2501">
        <v>2170689199</v>
      </c>
      <c r="F2501" t="s">
        <v>58</v>
      </c>
      <c r="G2501" t="s">
        <v>59</v>
      </c>
      <c r="H2501" t="s">
        <v>59</v>
      </c>
      <c r="I2501" t="s">
        <v>64</v>
      </c>
      <c r="J2501" t="s">
        <v>751</v>
      </c>
      <c r="K2501" s="9">
        <v>43606</v>
      </c>
      <c r="L2501" s="10">
        <v>0.4201388888888889</v>
      </c>
      <c r="M2501" t="s">
        <v>3694</v>
      </c>
      <c r="N2501" t="s">
        <v>3695</v>
      </c>
      <c r="O2501" t="s">
        <v>22</v>
      </c>
    </row>
    <row r="2502" spans="1:15">
      <c r="A2502" s="6" t="s">
        <v>15</v>
      </c>
      <c r="B2502" s="6" t="str">
        <f>"FES1162690675"</f>
        <v>FES1162690675</v>
      </c>
      <c r="C2502" s="7">
        <v>43605</v>
      </c>
      <c r="D2502" s="6">
        <v>1</v>
      </c>
      <c r="E2502" s="6">
        <v>2170689173</v>
      </c>
      <c r="F2502" s="6" t="s">
        <v>16</v>
      </c>
      <c r="G2502" s="6" t="s">
        <v>17</v>
      </c>
      <c r="H2502" s="6" t="s">
        <v>17</v>
      </c>
      <c r="I2502" s="6" t="s">
        <v>103</v>
      </c>
      <c r="J2502" s="6" t="s">
        <v>104</v>
      </c>
      <c r="K2502" s="7">
        <v>43606</v>
      </c>
      <c r="L2502" s="8">
        <v>0.43055555555555558</v>
      </c>
      <c r="M2502" s="6" t="s">
        <v>325</v>
      </c>
      <c r="N2502" s="6" t="s">
        <v>21</v>
      </c>
      <c r="O2502" s="6" t="s">
        <v>22</v>
      </c>
    </row>
    <row r="2503" spans="1:15" hidden="1">
      <c r="A2503" t="s">
        <v>15</v>
      </c>
      <c r="B2503" t="str">
        <f>"FES1162690762"</f>
        <v>FES1162690762</v>
      </c>
      <c r="C2503" s="9">
        <v>43605</v>
      </c>
      <c r="D2503">
        <v>3</v>
      </c>
      <c r="E2503">
        <v>2170689242</v>
      </c>
      <c r="F2503" t="s">
        <v>58</v>
      </c>
      <c r="G2503" t="s">
        <v>59</v>
      </c>
      <c r="H2503" t="s">
        <v>2986</v>
      </c>
      <c r="I2503" t="s">
        <v>291</v>
      </c>
      <c r="J2503" t="s">
        <v>297</v>
      </c>
      <c r="K2503" s="9">
        <v>43606</v>
      </c>
      <c r="L2503" s="10">
        <v>0.3444444444444445</v>
      </c>
      <c r="M2503" t="s">
        <v>1291</v>
      </c>
      <c r="N2503" t="s">
        <v>3696</v>
      </c>
      <c r="O2503" t="s">
        <v>22</v>
      </c>
    </row>
    <row r="2504" spans="1:15" hidden="1">
      <c r="A2504" t="s">
        <v>15</v>
      </c>
      <c r="B2504" t="str">
        <f>"FES1162690735"</f>
        <v>FES1162690735</v>
      </c>
      <c r="C2504" s="9">
        <v>43605</v>
      </c>
      <c r="D2504">
        <v>1</v>
      </c>
      <c r="E2504">
        <v>2170685474</v>
      </c>
      <c r="F2504" t="s">
        <v>16</v>
      </c>
      <c r="G2504" t="s">
        <v>17</v>
      </c>
      <c r="H2504" t="s">
        <v>322</v>
      </c>
      <c r="I2504" t="s">
        <v>618</v>
      </c>
      <c r="J2504" t="s">
        <v>619</v>
      </c>
      <c r="K2504" s="9">
        <v>43606</v>
      </c>
      <c r="L2504" s="10">
        <v>0.41666666666666669</v>
      </c>
      <c r="M2504" t="s">
        <v>620</v>
      </c>
      <c r="N2504" t="s">
        <v>3697</v>
      </c>
      <c r="O2504" t="s">
        <v>22</v>
      </c>
    </row>
    <row r="2505" spans="1:15" hidden="1">
      <c r="A2505" t="s">
        <v>15</v>
      </c>
      <c r="B2505" t="str">
        <f>"FES1162690737"</f>
        <v>FES1162690737</v>
      </c>
      <c r="C2505" s="9">
        <v>43605</v>
      </c>
      <c r="D2505">
        <v>2</v>
      </c>
      <c r="E2505">
        <v>2170685915</v>
      </c>
      <c r="F2505" t="s">
        <v>16</v>
      </c>
      <c r="G2505" t="s">
        <v>17</v>
      </c>
      <c r="H2505" t="s">
        <v>141</v>
      </c>
      <c r="I2505" t="s">
        <v>1921</v>
      </c>
      <c r="J2505" t="s">
        <v>3698</v>
      </c>
      <c r="K2505" s="9">
        <v>43606</v>
      </c>
      <c r="L2505" s="10">
        <v>0.42152777777777778</v>
      </c>
      <c r="M2505" t="s">
        <v>3699</v>
      </c>
      <c r="N2505" t="s">
        <v>3700</v>
      </c>
      <c r="O2505" t="s">
        <v>22</v>
      </c>
    </row>
    <row r="2506" spans="1:15">
      <c r="A2506" s="6" t="s">
        <v>15</v>
      </c>
      <c r="B2506" s="6" t="str">
        <f>"FES1162690716"</f>
        <v>FES1162690716</v>
      </c>
      <c r="C2506" s="7">
        <v>43605</v>
      </c>
      <c r="D2506" s="6">
        <v>1</v>
      </c>
      <c r="E2506" s="6">
        <v>2170689211</v>
      </c>
      <c r="F2506" s="6" t="s">
        <v>16</v>
      </c>
      <c r="G2506" s="6" t="s">
        <v>17</v>
      </c>
      <c r="H2506" s="6" t="s">
        <v>17</v>
      </c>
      <c r="I2506" s="6" t="s">
        <v>18</v>
      </c>
      <c r="J2506" s="6" t="s">
        <v>19</v>
      </c>
      <c r="K2506" s="7">
        <v>43606</v>
      </c>
      <c r="L2506" s="8">
        <v>0.4201388888888889</v>
      </c>
      <c r="M2506" s="6" t="s">
        <v>1978</v>
      </c>
      <c r="N2506" s="6" t="s">
        <v>21</v>
      </c>
      <c r="O2506" s="6" t="s">
        <v>22</v>
      </c>
    </row>
    <row r="2507" spans="1:15">
      <c r="A2507" s="6" t="s">
        <v>15</v>
      </c>
      <c r="B2507" s="6" t="str">
        <f>"FES1162690701"</f>
        <v>FES1162690701</v>
      </c>
      <c r="C2507" s="7">
        <v>43605</v>
      </c>
      <c r="D2507" s="6">
        <v>1</v>
      </c>
      <c r="E2507" s="6">
        <v>2170689196</v>
      </c>
      <c r="F2507" s="6" t="s">
        <v>16</v>
      </c>
      <c r="G2507" s="6" t="s">
        <v>17</v>
      </c>
      <c r="H2507" s="6" t="s">
        <v>17</v>
      </c>
      <c r="I2507" s="6" t="s">
        <v>148</v>
      </c>
      <c r="J2507" s="6" t="s">
        <v>419</v>
      </c>
      <c r="K2507" s="7">
        <v>43606</v>
      </c>
      <c r="L2507" s="8">
        <v>0.42222222222222222</v>
      </c>
      <c r="M2507" s="6" t="s">
        <v>996</v>
      </c>
      <c r="N2507" s="6" t="s">
        <v>21</v>
      </c>
      <c r="O2507" s="6" t="s">
        <v>22</v>
      </c>
    </row>
    <row r="2508" spans="1:15" hidden="1">
      <c r="A2508" t="s">
        <v>15</v>
      </c>
      <c r="B2508" t="str">
        <f>"FES1162690694"</f>
        <v>FES1162690694</v>
      </c>
      <c r="C2508" s="9">
        <v>43605</v>
      </c>
      <c r="D2508">
        <v>1</v>
      </c>
      <c r="E2508">
        <v>2170689185</v>
      </c>
      <c r="F2508" t="s">
        <v>16</v>
      </c>
      <c r="G2508" t="s">
        <v>17</v>
      </c>
      <c r="H2508" t="s">
        <v>32</v>
      </c>
      <c r="I2508" t="s">
        <v>33</v>
      </c>
      <c r="J2508" t="s">
        <v>360</v>
      </c>
      <c r="K2508" s="9">
        <v>43606</v>
      </c>
      <c r="L2508" s="10">
        <v>0.38055555555555554</v>
      </c>
      <c r="M2508" t="s">
        <v>793</v>
      </c>
      <c r="N2508" t="s">
        <v>3701</v>
      </c>
      <c r="O2508" t="s">
        <v>22</v>
      </c>
    </row>
    <row r="2509" spans="1:15" hidden="1">
      <c r="A2509" t="s">
        <v>15</v>
      </c>
      <c r="B2509" t="str">
        <f>"FES1162690713"</f>
        <v>FES1162690713</v>
      </c>
      <c r="C2509" s="9">
        <v>43605</v>
      </c>
      <c r="D2509">
        <v>1</v>
      </c>
      <c r="E2509">
        <v>2170689207</v>
      </c>
      <c r="F2509" t="s">
        <v>16</v>
      </c>
      <c r="G2509" t="s">
        <v>17</v>
      </c>
      <c r="H2509" t="s">
        <v>32</v>
      </c>
      <c r="I2509" t="s">
        <v>33</v>
      </c>
      <c r="J2509" t="s">
        <v>357</v>
      </c>
      <c r="K2509" s="9">
        <v>43606</v>
      </c>
      <c r="L2509" s="10">
        <v>0.41666666666666669</v>
      </c>
      <c r="M2509" t="s">
        <v>1595</v>
      </c>
      <c r="N2509" t="s">
        <v>3702</v>
      </c>
      <c r="O2509" t="s">
        <v>22</v>
      </c>
    </row>
    <row r="2510" spans="1:15" hidden="1">
      <c r="A2510" t="s">
        <v>15</v>
      </c>
      <c r="B2510" t="str">
        <f>"FES1162690740"</f>
        <v>FES1162690740</v>
      </c>
      <c r="C2510" s="9">
        <v>43605</v>
      </c>
      <c r="D2510">
        <v>2</v>
      </c>
      <c r="E2510">
        <v>2170687431</v>
      </c>
      <c r="F2510" t="s">
        <v>16</v>
      </c>
      <c r="G2510" t="s">
        <v>17</v>
      </c>
      <c r="H2510" t="s">
        <v>32</v>
      </c>
      <c r="I2510" t="s">
        <v>2021</v>
      </c>
      <c r="J2510" t="s">
        <v>2022</v>
      </c>
      <c r="K2510" t="s">
        <v>1730</v>
      </c>
      <c r="L2510"/>
      <c r="M2510" t="s">
        <v>1731</v>
      </c>
      <c r="N2510" t="s">
        <v>3703</v>
      </c>
      <c r="O2510" t="s">
        <v>22</v>
      </c>
    </row>
    <row r="2511" spans="1:15" hidden="1">
      <c r="A2511" t="s">
        <v>15</v>
      </c>
      <c r="B2511" t="str">
        <f>"FES1162690698"</f>
        <v>FES1162690698</v>
      </c>
      <c r="C2511" s="9">
        <v>43605</v>
      </c>
      <c r="D2511">
        <v>2</v>
      </c>
      <c r="E2511">
        <v>2170689193</v>
      </c>
      <c r="F2511" t="s">
        <v>16</v>
      </c>
      <c r="G2511" t="s">
        <v>17</v>
      </c>
      <c r="H2511" t="s">
        <v>37</v>
      </c>
      <c r="I2511" t="s">
        <v>38</v>
      </c>
      <c r="J2511" t="s">
        <v>1429</v>
      </c>
      <c r="K2511" s="9">
        <v>43606</v>
      </c>
      <c r="L2511" s="10">
        <v>0.41666666666666669</v>
      </c>
      <c r="M2511" t="s">
        <v>1430</v>
      </c>
      <c r="N2511" t="s">
        <v>3704</v>
      </c>
      <c r="O2511" t="s">
        <v>22</v>
      </c>
    </row>
    <row r="2512" spans="1:15" hidden="1">
      <c r="A2512" t="s">
        <v>15</v>
      </c>
      <c r="B2512" t="str">
        <f>"FES1162690724"</f>
        <v>FES1162690724</v>
      </c>
      <c r="C2512" s="9">
        <v>43605</v>
      </c>
      <c r="D2512">
        <v>1</v>
      </c>
      <c r="E2512">
        <v>2170689216</v>
      </c>
      <c r="F2512" t="s">
        <v>16</v>
      </c>
      <c r="G2512" t="s">
        <v>17</v>
      </c>
      <c r="H2512" t="s">
        <v>141</v>
      </c>
      <c r="I2512" t="s">
        <v>142</v>
      </c>
      <c r="J2512" t="s">
        <v>228</v>
      </c>
      <c r="K2512" s="9">
        <v>43606</v>
      </c>
      <c r="L2512" s="10">
        <v>0.35625000000000001</v>
      </c>
      <c r="M2512" t="s">
        <v>229</v>
      </c>
      <c r="N2512" t="s">
        <v>3705</v>
      </c>
      <c r="O2512" t="s">
        <v>22</v>
      </c>
    </row>
    <row r="2513" spans="1:15" hidden="1">
      <c r="A2513" t="s">
        <v>15</v>
      </c>
      <c r="B2513" t="str">
        <f>"FES1162690705"</f>
        <v>FES1162690705</v>
      </c>
      <c r="C2513" s="9">
        <v>43605</v>
      </c>
      <c r="D2513">
        <v>1</v>
      </c>
      <c r="E2513">
        <v>2170689200</v>
      </c>
      <c r="F2513" t="s">
        <v>16</v>
      </c>
      <c r="G2513" t="s">
        <v>17</v>
      </c>
      <c r="H2513" t="s">
        <v>37</v>
      </c>
      <c r="I2513" t="s">
        <v>38</v>
      </c>
      <c r="J2513" t="s">
        <v>1429</v>
      </c>
      <c r="K2513" s="9">
        <v>43606</v>
      </c>
      <c r="L2513" s="10">
        <v>0.41666666666666669</v>
      </c>
      <c r="M2513" t="s">
        <v>1430</v>
      </c>
      <c r="N2513" t="s">
        <v>3706</v>
      </c>
      <c r="O2513" t="s">
        <v>22</v>
      </c>
    </row>
    <row r="2514" spans="1:15" hidden="1">
      <c r="A2514" t="s">
        <v>15</v>
      </c>
      <c r="B2514" t="str">
        <f>"FES1162690753"</f>
        <v>FES1162690753</v>
      </c>
      <c r="C2514" s="9">
        <v>43605</v>
      </c>
      <c r="D2514">
        <v>1</v>
      </c>
      <c r="E2514">
        <v>2170688816</v>
      </c>
      <c r="F2514" t="s">
        <v>16</v>
      </c>
      <c r="G2514" t="s">
        <v>17</v>
      </c>
      <c r="H2514" t="s">
        <v>43</v>
      </c>
      <c r="I2514" t="s">
        <v>75</v>
      </c>
      <c r="J2514" t="s">
        <v>222</v>
      </c>
      <c r="K2514" s="9">
        <v>43606</v>
      </c>
      <c r="L2514" s="10">
        <v>0.46249999999999997</v>
      </c>
      <c r="M2514" t="s">
        <v>88</v>
      </c>
      <c r="N2514" t="s">
        <v>3707</v>
      </c>
      <c r="O2514" t="s">
        <v>22</v>
      </c>
    </row>
    <row r="2515" spans="1:15" hidden="1">
      <c r="A2515" t="s">
        <v>15</v>
      </c>
      <c r="B2515" t="str">
        <f>"FES1162690764"</f>
        <v>FES1162690764</v>
      </c>
      <c r="C2515" s="9">
        <v>43605</v>
      </c>
      <c r="D2515">
        <v>1</v>
      </c>
      <c r="E2515">
        <v>2170689244</v>
      </c>
      <c r="F2515" t="s">
        <v>16</v>
      </c>
      <c r="G2515" t="s">
        <v>17</v>
      </c>
      <c r="H2515" t="s">
        <v>32</v>
      </c>
      <c r="I2515" t="s">
        <v>33</v>
      </c>
      <c r="J2515" t="s">
        <v>3223</v>
      </c>
      <c r="K2515" s="9">
        <v>43606</v>
      </c>
      <c r="L2515" s="10">
        <v>0.375</v>
      </c>
      <c r="M2515" t="s">
        <v>3656</v>
      </c>
      <c r="N2515" t="s">
        <v>3708</v>
      </c>
      <c r="O2515" t="s">
        <v>22</v>
      </c>
    </row>
    <row r="2516" spans="1:15" hidden="1">
      <c r="A2516" t="s">
        <v>15</v>
      </c>
      <c r="B2516" t="str">
        <f>"FES1162690768"</f>
        <v>FES1162690768</v>
      </c>
      <c r="C2516" s="9">
        <v>43605</v>
      </c>
      <c r="D2516">
        <v>1</v>
      </c>
      <c r="E2516">
        <v>2170689249</v>
      </c>
      <c r="F2516" t="s">
        <v>16</v>
      </c>
      <c r="G2516" t="s">
        <v>17</v>
      </c>
      <c r="H2516" t="s">
        <v>37</v>
      </c>
      <c r="I2516" t="s">
        <v>38</v>
      </c>
      <c r="J2516" t="s">
        <v>766</v>
      </c>
      <c r="K2516" s="9">
        <v>43606</v>
      </c>
      <c r="L2516" s="10">
        <v>0.3611111111111111</v>
      </c>
      <c r="M2516" t="s">
        <v>1247</v>
      </c>
      <c r="N2516" t="s">
        <v>3709</v>
      </c>
      <c r="O2516" t="s">
        <v>22</v>
      </c>
    </row>
    <row r="2517" spans="1:15" hidden="1">
      <c r="A2517" t="s">
        <v>15</v>
      </c>
      <c r="B2517" t="str">
        <f>"FES1162690729"</f>
        <v>FES1162690729</v>
      </c>
      <c r="C2517" s="9">
        <v>43605</v>
      </c>
      <c r="D2517">
        <v>1</v>
      </c>
      <c r="E2517">
        <v>2170689266</v>
      </c>
      <c r="F2517" t="s">
        <v>16</v>
      </c>
      <c r="G2517" t="s">
        <v>17</v>
      </c>
      <c r="H2517" t="s">
        <v>132</v>
      </c>
      <c r="I2517" t="s">
        <v>133</v>
      </c>
      <c r="J2517" t="s">
        <v>189</v>
      </c>
      <c r="K2517" s="9">
        <v>43606</v>
      </c>
      <c r="L2517" s="10">
        <v>0.4375</v>
      </c>
      <c r="M2517" t="s">
        <v>190</v>
      </c>
      <c r="N2517" t="s">
        <v>3710</v>
      </c>
      <c r="O2517" t="s">
        <v>22</v>
      </c>
    </row>
    <row r="2518" spans="1:15" hidden="1">
      <c r="A2518" t="s">
        <v>15</v>
      </c>
      <c r="B2518" t="str">
        <f>"FES1162690738"</f>
        <v>FES1162690738</v>
      </c>
      <c r="C2518" s="9">
        <v>43605</v>
      </c>
      <c r="D2518">
        <v>3</v>
      </c>
      <c r="E2518">
        <v>2170687203</v>
      </c>
      <c r="F2518" t="s">
        <v>16</v>
      </c>
      <c r="G2518" t="s">
        <v>17</v>
      </c>
      <c r="H2518" t="s">
        <v>32</v>
      </c>
      <c r="I2518" t="s">
        <v>33</v>
      </c>
      <c r="J2518" t="s">
        <v>1657</v>
      </c>
      <c r="K2518" s="9">
        <v>43606</v>
      </c>
      <c r="L2518" s="10">
        <v>0.38541666666666669</v>
      </c>
      <c r="M2518" t="s">
        <v>1658</v>
      </c>
      <c r="N2518" t="s">
        <v>3711</v>
      </c>
      <c r="O2518" t="s">
        <v>22</v>
      </c>
    </row>
    <row r="2519" spans="1:15">
      <c r="A2519" s="6" t="s">
        <v>15</v>
      </c>
      <c r="B2519" s="6" t="str">
        <f>"FES1162690745"</f>
        <v>FES1162690745</v>
      </c>
      <c r="C2519" s="7">
        <v>43605</v>
      </c>
      <c r="D2519" s="6">
        <v>1</v>
      </c>
      <c r="E2519" s="6">
        <v>2170689232</v>
      </c>
      <c r="F2519" s="6" t="s">
        <v>16</v>
      </c>
      <c r="G2519" s="6" t="s">
        <v>17</v>
      </c>
      <c r="H2519" s="6" t="s">
        <v>17</v>
      </c>
      <c r="I2519" s="6" t="s">
        <v>421</v>
      </c>
      <c r="J2519" s="6" t="s">
        <v>885</v>
      </c>
      <c r="K2519" s="7">
        <v>43606</v>
      </c>
      <c r="L2519" s="8">
        <v>0.33333333333333331</v>
      </c>
      <c r="M2519" s="6" t="s">
        <v>2275</v>
      </c>
      <c r="N2519" s="6" t="s">
        <v>21</v>
      </c>
      <c r="O2519" s="6" t="s">
        <v>22</v>
      </c>
    </row>
    <row r="2520" spans="1:15">
      <c r="A2520" s="6" t="s">
        <v>15</v>
      </c>
      <c r="B2520" s="6" t="str">
        <f>"FES1162690772"</f>
        <v>FES1162690772</v>
      </c>
      <c r="C2520" s="7">
        <v>43605</v>
      </c>
      <c r="D2520" s="6">
        <v>1</v>
      </c>
      <c r="E2520" s="6">
        <v>2170689255</v>
      </c>
      <c r="F2520" s="6" t="s">
        <v>16</v>
      </c>
      <c r="G2520" s="6" t="s">
        <v>17</v>
      </c>
      <c r="H2520" s="6" t="s">
        <v>17</v>
      </c>
      <c r="I2520" s="6" t="s">
        <v>64</v>
      </c>
      <c r="J2520" s="6" t="s">
        <v>3398</v>
      </c>
      <c r="K2520" s="7">
        <v>43606</v>
      </c>
      <c r="L2520" s="8">
        <v>0.38958333333333334</v>
      </c>
      <c r="M2520" s="6" t="s">
        <v>3712</v>
      </c>
      <c r="N2520" s="6" t="s">
        <v>21</v>
      </c>
      <c r="O2520" s="6" t="s">
        <v>22</v>
      </c>
    </row>
    <row r="2521" spans="1:15">
      <c r="A2521" s="6" t="s">
        <v>15</v>
      </c>
      <c r="B2521" s="6" t="str">
        <f>"FES1162690727"</f>
        <v>FES1162690727</v>
      </c>
      <c r="C2521" s="7">
        <v>43605</v>
      </c>
      <c r="D2521" s="6">
        <v>1</v>
      </c>
      <c r="E2521" s="6">
        <v>2170689222</v>
      </c>
      <c r="F2521" s="6" t="s">
        <v>16</v>
      </c>
      <c r="G2521" s="6" t="s">
        <v>17</v>
      </c>
      <c r="H2521" s="6" t="s">
        <v>17</v>
      </c>
      <c r="I2521" s="6" t="s">
        <v>23</v>
      </c>
      <c r="J2521" s="6" t="s">
        <v>106</v>
      </c>
      <c r="K2521" s="7">
        <v>43606</v>
      </c>
      <c r="L2521" s="8">
        <v>0.4236111111111111</v>
      </c>
      <c r="M2521" s="6" t="s">
        <v>3713</v>
      </c>
      <c r="N2521" s="6" t="s">
        <v>21</v>
      </c>
      <c r="O2521" s="6" t="s">
        <v>22</v>
      </c>
    </row>
    <row r="2522" spans="1:15">
      <c r="A2522" s="6" t="s">
        <v>15</v>
      </c>
      <c r="B2522" s="6" t="str">
        <f>"FES1162690746"</f>
        <v>FES1162690746</v>
      </c>
      <c r="C2522" s="7">
        <v>43605</v>
      </c>
      <c r="D2522" s="6">
        <v>1</v>
      </c>
      <c r="E2522" s="6">
        <v>2170689233</v>
      </c>
      <c r="F2522" s="6" t="s">
        <v>16</v>
      </c>
      <c r="G2522" s="6" t="s">
        <v>17</v>
      </c>
      <c r="H2522" s="6" t="s">
        <v>17</v>
      </c>
      <c r="I2522" s="6" t="s">
        <v>23</v>
      </c>
      <c r="J2522" s="6" t="s">
        <v>101</v>
      </c>
      <c r="K2522" s="7">
        <v>43606</v>
      </c>
      <c r="L2522" s="8">
        <v>0.42708333333333331</v>
      </c>
      <c r="M2522" s="6" t="s">
        <v>2609</v>
      </c>
      <c r="N2522" s="6" t="s">
        <v>21</v>
      </c>
      <c r="O2522" s="6" t="s">
        <v>22</v>
      </c>
    </row>
    <row r="2523" spans="1:15" hidden="1">
      <c r="A2523" t="s">
        <v>15</v>
      </c>
      <c r="B2523" t="str">
        <f>"FES1162690783"</f>
        <v>FES1162690783</v>
      </c>
      <c r="C2523" s="9">
        <v>43605</v>
      </c>
      <c r="D2523">
        <v>1</v>
      </c>
      <c r="E2523">
        <v>2170689261</v>
      </c>
      <c r="F2523" t="s">
        <v>16</v>
      </c>
      <c r="G2523" t="s">
        <v>17</v>
      </c>
      <c r="H2523" t="s">
        <v>141</v>
      </c>
      <c r="I2523" t="s">
        <v>185</v>
      </c>
      <c r="J2523" t="s">
        <v>1250</v>
      </c>
      <c r="K2523" s="9">
        <v>43606</v>
      </c>
      <c r="L2523" s="10">
        <v>0.39097222222222222</v>
      </c>
      <c r="M2523" t="s">
        <v>2411</v>
      </c>
      <c r="N2523" t="s">
        <v>3714</v>
      </c>
      <c r="O2523" t="s">
        <v>22</v>
      </c>
    </row>
    <row r="2524" spans="1:15" hidden="1">
      <c r="A2524" t="s">
        <v>15</v>
      </c>
      <c r="B2524" t="str">
        <f>"009935723273"</f>
        <v>009935723273</v>
      </c>
      <c r="C2524" s="9">
        <v>43605</v>
      </c>
      <c r="D2524">
        <v>1</v>
      </c>
      <c r="E2524">
        <v>1162682611</v>
      </c>
      <c r="F2524" t="s">
        <v>16</v>
      </c>
      <c r="G2524" t="s">
        <v>17</v>
      </c>
      <c r="H2524" t="s">
        <v>290</v>
      </c>
      <c r="I2524" t="s">
        <v>291</v>
      </c>
      <c r="J2524" t="s">
        <v>3715</v>
      </c>
      <c r="K2524" s="9">
        <v>43607</v>
      </c>
      <c r="L2524" s="10">
        <v>0.59375</v>
      </c>
      <c r="M2524" s="23">
        <v>9935723273</v>
      </c>
      <c r="N2524" t="s">
        <v>3716</v>
      </c>
      <c r="O2524" t="s">
        <v>605</v>
      </c>
    </row>
    <row r="2525" spans="1:15" hidden="1">
      <c r="A2525" t="s">
        <v>15</v>
      </c>
      <c r="B2525" t="str">
        <f>"FES1162690757"</f>
        <v>FES1162690757</v>
      </c>
      <c r="C2525" s="9">
        <v>43605</v>
      </c>
      <c r="D2525">
        <v>1</v>
      </c>
      <c r="E2525">
        <v>2170688794</v>
      </c>
      <c r="F2525" t="s">
        <v>16</v>
      </c>
      <c r="G2525" t="s">
        <v>17</v>
      </c>
      <c r="H2525" t="s">
        <v>32</v>
      </c>
      <c r="I2525" t="s">
        <v>33</v>
      </c>
      <c r="J2525" t="s">
        <v>365</v>
      </c>
      <c r="K2525" s="9">
        <v>43606</v>
      </c>
      <c r="L2525" s="10">
        <v>0.3888888888888889</v>
      </c>
      <c r="M2525" t="s">
        <v>3574</v>
      </c>
      <c r="N2525" t="s">
        <v>3717</v>
      </c>
      <c r="O2525" t="s">
        <v>22</v>
      </c>
    </row>
    <row r="2526" spans="1:15" hidden="1">
      <c r="A2526" t="s">
        <v>15</v>
      </c>
      <c r="B2526" t="str">
        <f>"FES1162690767"</f>
        <v>FES1162690767</v>
      </c>
      <c r="C2526" s="9">
        <v>43605</v>
      </c>
      <c r="D2526">
        <v>1</v>
      </c>
      <c r="E2526">
        <v>2170689248</v>
      </c>
      <c r="F2526" t="s">
        <v>16</v>
      </c>
      <c r="G2526" t="s">
        <v>17</v>
      </c>
      <c r="H2526" t="s">
        <v>141</v>
      </c>
      <c r="I2526" t="s">
        <v>142</v>
      </c>
      <c r="J2526" t="s">
        <v>455</v>
      </c>
      <c r="K2526" s="9">
        <v>43606</v>
      </c>
      <c r="L2526" s="10">
        <v>0.4375</v>
      </c>
      <c r="M2526" t="s">
        <v>3073</v>
      </c>
      <c r="N2526" t="s">
        <v>3718</v>
      </c>
      <c r="O2526" t="s">
        <v>22</v>
      </c>
    </row>
    <row r="2527" spans="1:15">
      <c r="A2527" s="6" t="s">
        <v>15</v>
      </c>
      <c r="B2527" s="6" t="str">
        <f>"FES1162690732"</f>
        <v>FES1162690732</v>
      </c>
      <c r="C2527" s="7">
        <v>43605</v>
      </c>
      <c r="D2527" s="6">
        <v>1</v>
      </c>
      <c r="E2527" s="6">
        <v>2170681931</v>
      </c>
      <c r="F2527" s="6" t="s">
        <v>16</v>
      </c>
      <c r="G2527" s="6" t="s">
        <v>17</v>
      </c>
      <c r="H2527" s="6" t="s">
        <v>17</v>
      </c>
      <c r="I2527" s="6" t="s">
        <v>103</v>
      </c>
      <c r="J2527" s="6" t="s">
        <v>776</v>
      </c>
      <c r="K2527" s="7">
        <v>43606</v>
      </c>
      <c r="L2527" s="8">
        <v>0.43402777777777773</v>
      </c>
      <c r="M2527" s="6" t="s">
        <v>3719</v>
      </c>
      <c r="N2527" s="6" t="s">
        <v>21</v>
      </c>
      <c r="O2527" s="6" t="s">
        <v>22</v>
      </c>
    </row>
    <row r="2528" spans="1:15">
      <c r="A2528" s="6" t="s">
        <v>15</v>
      </c>
      <c r="B2528" s="6" t="str">
        <f>"FES1162690748"</f>
        <v>FES1162690748</v>
      </c>
      <c r="C2528" s="7">
        <v>43605</v>
      </c>
      <c r="D2528" s="6">
        <v>1</v>
      </c>
      <c r="E2528" s="6">
        <v>2170681880</v>
      </c>
      <c r="F2528" s="6" t="s">
        <v>16</v>
      </c>
      <c r="G2528" s="6" t="s">
        <v>17</v>
      </c>
      <c r="H2528" s="6" t="s">
        <v>17</v>
      </c>
      <c r="I2528" s="6" t="s">
        <v>103</v>
      </c>
      <c r="J2528" s="6" t="s">
        <v>776</v>
      </c>
      <c r="K2528" s="7">
        <v>43606</v>
      </c>
      <c r="L2528" s="8">
        <v>0.43402777777777773</v>
      </c>
      <c r="M2528" s="6" t="s">
        <v>3719</v>
      </c>
      <c r="N2528" s="6" t="s">
        <v>21</v>
      </c>
      <c r="O2528" s="6" t="s">
        <v>22</v>
      </c>
    </row>
    <row r="2529" spans="1:15">
      <c r="A2529" s="6" t="s">
        <v>15</v>
      </c>
      <c r="B2529" s="6" t="str">
        <f>"FES1162690739"</f>
        <v>FES1162690739</v>
      </c>
      <c r="C2529" s="7">
        <v>43605</v>
      </c>
      <c r="D2529" s="6">
        <v>1</v>
      </c>
      <c r="E2529" s="6">
        <v>2170687425</v>
      </c>
      <c r="F2529" s="6" t="s">
        <v>16</v>
      </c>
      <c r="G2529" s="6" t="s">
        <v>17</v>
      </c>
      <c r="H2529" s="6" t="s">
        <v>17</v>
      </c>
      <c r="I2529" s="6" t="s">
        <v>23</v>
      </c>
      <c r="J2529" s="6" t="s">
        <v>70</v>
      </c>
      <c r="K2529" s="7">
        <v>43606</v>
      </c>
      <c r="L2529" s="8">
        <v>0.30069444444444443</v>
      </c>
      <c r="M2529" s="6" t="s">
        <v>1845</v>
      </c>
      <c r="N2529" s="6" t="s">
        <v>21</v>
      </c>
      <c r="O2529" s="6" t="s">
        <v>22</v>
      </c>
    </row>
    <row r="2530" spans="1:15">
      <c r="A2530" s="6" t="s">
        <v>15</v>
      </c>
      <c r="B2530" s="6" t="str">
        <f>"FES1162690779"</f>
        <v>FES1162690779</v>
      </c>
      <c r="C2530" s="7">
        <v>43605</v>
      </c>
      <c r="D2530" s="6">
        <v>1</v>
      </c>
      <c r="E2530" s="6">
        <v>1162690778</v>
      </c>
      <c r="F2530" s="6" t="s">
        <v>16</v>
      </c>
      <c r="G2530" s="6" t="s">
        <v>17</v>
      </c>
      <c r="H2530" s="6" t="s">
        <v>17</v>
      </c>
      <c r="I2530" s="6" t="s">
        <v>64</v>
      </c>
      <c r="J2530" s="6" t="s">
        <v>724</v>
      </c>
      <c r="K2530" s="7">
        <v>43606</v>
      </c>
      <c r="L2530" s="8">
        <v>0.35416666666666669</v>
      </c>
      <c r="M2530" s="6" t="s">
        <v>3720</v>
      </c>
      <c r="N2530" s="6" t="s">
        <v>21</v>
      </c>
      <c r="O2530" s="6" t="s">
        <v>2993</v>
      </c>
    </row>
    <row r="2531" spans="1:15" hidden="1">
      <c r="A2531" t="s">
        <v>15</v>
      </c>
      <c r="B2531" t="str">
        <f>"FES1162690765"</f>
        <v>FES1162690765</v>
      </c>
      <c r="C2531" s="9">
        <v>43605</v>
      </c>
      <c r="D2531">
        <v>1</v>
      </c>
      <c r="E2531">
        <v>2170689246</v>
      </c>
      <c r="F2531" t="s">
        <v>16</v>
      </c>
      <c r="G2531" t="s">
        <v>17</v>
      </c>
      <c r="H2531" t="s">
        <v>32</v>
      </c>
      <c r="I2531" t="s">
        <v>269</v>
      </c>
      <c r="J2531" t="s">
        <v>609</v>
      </c>
      <c r="K2531" s="9">
        <v>43606</v>
      </c>
      <c r="L2531" s="10">
        <v>0.41666666666666669</v>
      </c>
      <c r="M2531" t="s">
        <v>757</v>
      </c>
      <c r="N2531" t="s">
        <v>3721</v>
      </c>
      <c r="O2531" t="s">
        <v>22</v>
      </c>
    </row>
    <row r="2532" spans="1:15">
      <c r="A2532" s="6" t="s">
        <v>15</v>
      </c>
      <c r="B2532" s="6" t="str">
        <f>"FES1162690776"</f>
        <v>FES1162690776</v>
      </c>
      <c r="C2532" s="7">
        <v>43605</v>
      </c>
      <c r="D2532" s="6">
        <v>1</v>
      </c>
      <c r="E2532" s="6">
        <v>2170689256</v>
      </c>
      <c r="F2532" s="6" t="s">
        <v>16</v>
      </c>
      <c r="G2532" s="6" t="s">
        <v>17</v>
      </c>
      <c r="H2532" s="6" t="s">
        <v>17</v>
      </c>
      <c r="I2532" s="6" t="s">
        <v>18</v>
      </c>
      <c r="J2532" s="6" t="s">
        <v>2904</v>
      </c>
      <c r="K2532" s="7">
        <v>43607</v>
      </c>
      <c r="L2532" s="8">
        <v>0.4597222222222222</v>
      </c>
      <c r="M2532" s="6" t="s">
        <v>2905</v>
      </c>
      <c r="N2532" s="6" t="s">
        <v>21</v>
      </c>
      <c r="O2532" s="6" t="s">
        <v>22</v>
      </c>
    </row>
    <row r="2533" spans="1:15">
      <c r="A2533" s="6" t="s">
        <v>15</v>
      </c>
      <c r="B2533" s="6" t="str">
        <f>"FES1162690769"</f>
        <v>FES1162690769</v>
      </c>
      <c r="C2533" s="7">
        <v>43605</v>
      </c>
      <c r="D2533" s="6">
        <v>1</v>
      </c>
      <c r="E2533" s="6">
        <v>2170689251</v>
      </c>
      <c r="F2533" s="6" t="s">
        <v>16</v>
      </c>
      <c r="G2533" s="6" t="s">
        <v>17</v>
      </c>
      <c r="H2533" s="6" t="s">
        <v>17</v>
      </c>
      <c r="I2533" s="6" t="s">
        <v>23</v>
      </c>
      <c r="J2533" s="6" t="s">
        <v>158</v>
      </c>
      <c r="K2533" s="7">
        <v>43606</v>
      </c>
      <c r="L2533" s="8">
        <v>0.35694444444444445</v>
      </c>
      <c r="M2533" s="6" t="s">
        <v>3631</v>
      </c>
      <c r="N2533" s="6" t="s">
        <v>21</v>
      </c>
      <c r="O2533" s="6" t="s">
        <v>22</v>
      </c>
    </row>
    <row r="2534" spans="1:15">
      <c r="A2534" s="6" t="s">
        <v>15</v>
      </c>
      <c r="B2534" s="6" t="str">
        <f>"FES1162690766"</f>
        <v>FES1162690766</v>
      </c>
      <c r="C2534" s="7">
        <v>43605</v>
      </c>
      <c r="D2534" s="6">
        <v>1</v>
      </c>
      <c r="E2534" s="6">
        <v>21706892473</v>
      </c>
      <c r="F2534" s="6" t="s">
        <v>16</v>
      </c>
      <c r="G2534" s="6" t="s">
        <v>17</v>
      </c>
      <c r="H2534" s="6" t="s">
        <v>17</v>
      </c>
      <c r="I2534" s="6" t="s">
        <v>18</v>
      </c>
      <c r="J2534" s="6" t="s">
        <v>19</v>
      </c>
      <c r="K2534" s="7">
        <v>43606</v>
      </c>
      <c r="L2534" s="8">
        <v>0.42083333333333334</v>
      </c>
      <c r="M2534" s="6" t="s">
        <v>1978</v>
      </c>
      <c r="N2534" s="6" t="s">
        <v>21</v>
      </c>
      <c r="O2534" s="6" t="s">
        <v>22</v>
      </c>
    </row>
    <row r="2535" spans="1:15">
      <c r="A2535" s="6" t="s">
        <v>15</v>
      </c>
      <c r="B2535" s="6" t="str">
        <f>"FES1162690703"</f>
        <v>FES1162690703</v>
      </c>
      <c r="C2535" s="7">
        <v>43605</v>
      </c>
      <c r="D2535" s="6">
        <v>1</v>
      </c>
      <c r="E2535" s="6">
        <v>217069198</v>
      </c>
      <c r="F2535" s="6" t="s">
        <v>16</v>
      </c>
      <c r="G2535" s="6" t="s">
        <v>17</v>
      </c>
      <c r="H2535" s="6" t="s">
        <v>17</v>
      </c>
      <c r="I2535" s="6" t="s">
        <v>67</v>
      </c>
      <c r="J2535" s="6" t="s">
        <v>1621</v>
      </c>
      <c r="K2535" s="7">
        <v>43606</v>
      </c>
      <c r="L2535" s="8">
        <v>0.34930555555555554</v>
      </c>
      <c r="M2535" s="6" t="s">
        <v>1622</v>
      </c>
      <c r="N2535" s="6" t="s">
        <v>21</v>
      </c>
      <c r="O2535" s="6" t="s">
        <v>22</v>
      </c>
    </row>
    <row r="2536" spans="1:15" hidden="1">
      <c r="A2536" t="s">
        <v>15</v>
      </c>
      <c r="B2536" t="str">
        <f>"FES1162690755"</f>
        <v>FES1162690755</v>
      </c>
      <c r="C2536" s="9">
        <v>43605</v>
      </c>
      <c r="D2536">
        <v>1</v>
      </c>
      <c r="E2536">
        <v>2170686980</v>
      </c>
      <c r="F2536" t="s">
        <v>58</v>
      </c>
      <c r="G2536" t="s">
        <v>59</v>
      </c>
      <c r="H2536" t="s">
        <v>2986</v>
      </c>
      <c r="I2536" t="s">
        <v>291</v>
      </c>
      <c r="J2536" t="s">
        <v>1030</v>
      </c>
      <c r="K2536" s="9">
        <v>43606</v>
      </c>
      <c r="L2536" s="10">
        <v>0.36458333333333331</v>
      </c>
      <c r="M2536" t="s">
        <v>3722</v>
      </c>
      <c r="N2536" t="s">
        <v>3723</v>
      </c>
      <c r="O2536" t="s">
        <v>22</v>
      </c>
    </row>
    <row r="2537" spans="1:15" hidden="1">
      <c r="A2537" t="s">
        <v>15</v>
      </c>
      <c r="B2537" t="str">
        <f>"FES1162690763"</f>
        <v>FES1162690763</v>
      </c>
      <c r="C2537" s="9">
        <v>43605</v>
      </c>
      <c r="D2537">
        <v>1</v>
      </c>
      <c r="E2537">
        <v>2170689250</v>
      </c>
      <c r="F2537" t="s">
        <v>16</v>
      </c>
      <c r="G2537" t="s">
        <v>17</v>
      </c>
      <c r="H2537" t="s">
        <v>290</v>
      </c>
      <c r="I2537" t="s">
        <v>309</v>
      </c>
      <c r="J2537" t="s">
        <v>331</v>
      </c>
      <c r="K2537" s="9">
        <v>43606</v>
      </c>
      <c r="L2537" s="10">
        <v>0.4201388888888889</v>
      </c>
      <c r="M2537" t="s">
        <v>332</v>
      </c>
      <c r="N2537" t="s">
        <v>3724</v>
      </c>
      <c r="O2537" t="s">
        <v>22</v>
      </c>
    </row>
    <row r="2538" spans="1:15">
      <c r="A2538" s="6" t="s">
        <v>15</v>
      </c>
      <c r="B2538" s="6" t="str">
        <f>"FES1162690787"</f>
        <v>FES1162690787</v>
      </c>
      <c r="C2538" s="7">
        <v>43605</v>
      </c>
      <c r="D2538" s="6">
        <v>1</v>
      </c>
      <c r="E2538" s="6">
        <v>2170688110</v>
      </c>
      <c r="F2538" s="6" t="s">
        <v>16</v>
      </c>
      <c r="G2538" s="6" t="s">
        <v>17</v>
      </c>
      <c r="H2538" s="6" t="s">
        <v>17</v>
      </c>
      <c r="I2538" s="6" t="s">
        <v>1376</v>
      </c>
      <c r="J2538" s="6" t="s">
        <v>1377</v>
      </c>
      <c r="K2538" s="7">
        <v>43606</v>
      </c>
      <c r="L2538" s="8">
        <v>0.38611111111111113</v>
      </c>
      <c r="M2538" s="6" t="s">
        <v>3725</v>
      </c>
      <c r="N2538" s="6" t="s">
        <v>21</v>
      </c>
      <c r="O2538" s="6" t="s">
        <v>22</v>
      </c>
    </row>
    <row r="2539" spans="1:15">
      <c r="A2539" s="6" t="s">
        <v>15</v>
      </c>
      <c r="B2539" s="6" t="str">
        <f>"FES1162690570"</f>
        <v>FES1162690570</v>
      </c>
      <c r="C2539" s="7">
        <v>43605</v>
      </c>
      <c r="D2539" s="6">
        <v>1</v>
      </c>
      <c r="E2539" s="6">
        <v>2170689046</v>
      </c>
      <c r="F2539" s="6" t="s">
        <v>16</v>
      </c>
      <c r="G2539" s="6" t="s">
        <v>17</v>
      </c>
      <c r="H2539" s="6" t="s">
        <v>17</v>
      </c>
      <c r="I2539" s="6" t="s">
        <v>67</v>
      </c>
      <c r="J2539" s="6" t="s">
        <v>1455</v>
      </c>
      <c r="K2539" s="7">
        <v>43606</v>
      </c>
      <c r="L2539" s="8">
        <v>0.43402777777777773</v>
      </c>
      <c r="M2539" s="6" t="s">
        <v>3470</v>
      </c>
      <c r="N2539" s="6" t="s">
        <v>21</v>
      </c>
      <c r="O2539" s="6" t="s">
        <v>22</v>
      </c>
    </row>
    <row r="2540" spans="1:15">
      <c r="A2540" s="6" t="s">
        <v>15</v>
      </c>
      <c r="B2540" s="6" t="str">
        <f>"FES1162690777"</f>
        <v>FES1162690777</v>
      </c>
      <c r="C2540" s="7">
        <v>43605</v>
      </c>
      <c r="D2540" s="6">
        <v>1</v>
      </c>
      <c r="E2540" s="6">
        <v>2170689257</v>
      </c>
      <c r="F2540" s="6" t="s">
        <v>16</v>
      </c>
      <c r="G2540" s="6" t="s">
        <v>17</v>
      </c>
      <c r="H2540" s="6" t="s">
        <v>17</v>
      </c>
      <c r="I2540" s="6" t="s">
        <v>103</v>
      </c>
      <c r="J2540" s="6" t="s">
        <v>3726</v>
      </c>
      <c r="K2540" s="7">
        <v>43606</v>
      </c>
      <c r="L2540" s="8">
        <v>0.4375</v>
      </c>
      <c r="M2540" s="6" t="s">
        <v>3727</v>
      </c>
      <c r="N2540" s="6" t="s">
        <v>21</v>
      </c>
      <c r="O2540" s="6" t="s">
        <v>22</v>
      </c>
    </row>
    <row r="2541" spans="1:15">
      <c r="A2541" s="6" t="s">
        <v>15</v>
      </c>
      <c r="B2541" s="6" t="str">
        <f>"FES1162690759"</f>
        <v>FES1162690759</v>
      </c>
      <c r="C2541" s="7">
        <v>43605</v>
      </c>
      <c r="D2541" s="6">
        <v>1</v>
      </c>
      <c r="E2541" s="6">
        <v>2170689022</v>
      </c>
      <c r="F2541" s="6" t="s">
        <v>16</v>
      </c>
      <c r="G2541" s="6" t="s">
        <v>17</v>
      </c>
      <c r="H2541" s="6" t="s">
        <v>17</v>
      </c>
      <c r="I2541" s="6" t="s">
        <v>23</v>
      </c>
      <c r="J2541" s="6" t="s">
        <v>158</v>
      </c>
      <c r="K2541" s="7">
        <v>43606</v>
      </c>
      <c r="L2541" s="8">
        <v>0.35694444444444445</v>
      </c>
      <c r="M2541" s="6" t="s">
        <v>3631</v>
      </c>
      <c r="N2541" s="6" t="s">
        <v>21</v>
      </c>
      <c r="O2541" s="6" t="s">
        <v>22</v>
      </c>
    </row>
    <row r="2542" spans="1:15" hidden="1">
      <c r="A2542" t="s">
        <v>15</v>
      </c>
      <c r="B2542" t="str">
        <f>"FES1162690774"</f>
        <v>FES1162690774</v>
      </c>
      <c r="C2542" s="9">
        <v>43605</v>
      </c>
      <c r="D2542">
        <v>1</v>
      </c>
      <c r="E2542">
        <v>2170685903</v>
      </c>
      <c r="F2542" t="s">
        <v>16</v>
      </c>
      <c r="G2542" t="s">
        <v>17</v>
      </c>
      <c r="H2542" t="s">
        <v>43</v>
      </c>
      <c r="I2542" t="s">
        <v>54</v>
      </c>
      <c r="J2542" t="s">
        <v>216</v>
      </c>
      <c r="K2542" s="9">
        <v>43606</v>
      </c>
      <c r="L2542" s="10">
        <v>0.41666666666666669</v>
      </c>
      <c r="M2542" t="s">
        <v>1443</v>
      </c>
      <c r="N2542" t="s">
        <v>3728</v>
      </c>
      <c r="O2542" t="s">
        <v>22</v>
      </c>
    </row>
    <row r="2543" spans="1:15" hidden="1">
      <c r="A2543" t="s">
        <v>15</v>
      </c>
      <c r="B2543" t="str">
        <f>"FES1162690771"</f>
        <v>FES1162690771</v>
      </c>
      <c r="C2543" s="9">
        <v>43605</v>
      </c>
      <c r="D2543">
        <v>1</v>
      </c>
      <c r="E2543">
        <v>2170689254</v>
      </c>
      <c r="F2543" t="s">
        <v>16</v>
      </c>
      <c r="G2543" t="s">
        <v>17</v>
      </c>
      <c r="H2543" t="s">
        <v>32</v>
      </c>
      <c r="I2543" t="s">
        <v>342</v>
      </c>
      <c r="J2543" t="s">
        <v>3729</v>
      </c>
      <c r="K2543" s="9">
        <v>43606</v>
      </c>
      <c r="L2543" s="10">
        <v>0.40277777777777773</v>
      </c>
      <c r="M2543" t="s">
        <v>2892</v>
      </c>
      <c r="N2543" t="s">
        <v>3730</v>
      </c>
      <c r="O2543" t="s">
        <v>22</v>
      </c>
    </row>
    <row r="2544" spans="1:15" hidden="1">
      <c r="A2544" t="s">
        <v>15</v>
      </c>
      <c r="B2544" t="str">
        <f>"FES1162690775"</f>
        <v>FES1162690775</v>
      </c>
      <c r="C2544" s="9">
        <v>43605</v>
      </c>
      <c r="D2544">
        <v>1</v>
      </c>
      <c r="E2544">
        <v>217069540</v>
      </c>
      <c r="F2544" t="s">
        <v>16</v>
      </c>
      <c r="G2544" t="s">
        <v>17</v>
      </c>
      <c r="H2544" t="s">
        <v>43</v>
      </c>
      <c r="I2544" t="s">
        <v>54</v>
      </c>
      <c r="J2544" t="s">
        <v>216</v>
      </c>
      <c r="K2544" s="9">
        <v>43606</v>
      </c>
      <c r="L2544" s="10">
        <v>0.41666666666666669</v>
      </c>
      <c r="M2544" t="s">
        <v>1443</v>
      </c>
      <c r="N2544" t="s">
        <v>3731</v>
      </c>
      <c r="O2544" t="s">
        <v>22</v>
      </c>
    </row>
    <row r="2545" spans="1:15" ht="15.75" thickBot="1">
      <c r="A2545" s="11" t="s">
        <v>15</v>
      </c>
      <c r="B2545" s="11" t="str">
        <f>"FES1162690747"</f>
        <v>FES1162690747</v>
      </c>
      <c r="C2545" s="12">
        <v>43605</v>
      </c>
      <c r="D2545" s="11">
        <v>1</v>
      </c>
      <c r="E2545" s="11">
        <v>2170689234</v>
      </c>
      <c r="F2545" s="11" t="s">
        <v>16</v>
      </c>
      <c r="G2545" s="11" t="s">
        <v>17</v>
      </c>
      <c r="H2545" s="11" t="s">
        <v>17</v>
      </c>
      <c r="I2545" s="11" t="s">
        <v>64</v>
      </c>
      <c r="J2545" s="11" t="s">
        <v>3732</v>
      </c>
      <c r="K2545" s="12">
        <v>43606</v>
      </c>
      <c r="L2545" s="13">
        <v>0.39930555555555558</v>
      </c>
      <c r="M2545" s="11" t="s">
        <v>3733</v>
      </c>
      <c r="N2545" s="11" t="s">
        <v>21</v>
      </c>
      <c r="O2545" s="11" t="s">
        <v>22</v>
      </c>
    </row>
    <row r="2546" spans="1:15" hidden="1">
      <c r="A2546" t="s">
        <v>15</v>
      </c>
      <c r="B2546" t="str">
        <f>"FES1162690773"</f>
        <v>FES1162690773</v>
      </c>
      <c r="C2546" s="9">
        <v>43605</v>
      </c>
      <c r="D2546">
        <v>1</v>
      </c>
      <c r="E2546">
        <v>2170685929</v>
      </c>
      <c r="F2546" t="s">
        <v>16</v>
      </c>
      <c r="G2546" t="s">
        <v>17</v>
      </c>
      <c r="H2546" t="s">
        <v>43</v>
      </c>
      <c r="I2546" t="s">
        <v>54</v>
      </c>
      <c r="J2546" t="s">
        <v>216</v>
      </c>
      <c r="K2546" s="9">
        <v>43606</v>
      </c>
      <c r="L2546" s="10">
        <v>0.41666666666666669</v>
      </c>
      <c r="M2546" t="s">
        <v>1443</v>
      </c>
      <c r="N2546" t="s">
        <v>3734</v>
      </c>
      <c r="O2546" t="s">
        <v>22</v>
      </c>
    </row>
    <row r="2547" spans="1:15">
      <c r="A2547" s="6" t="s">
        <v>15</v>
      </c>
      <c r="B2547" s="6" t="str">
        <f>"FES1162690799"</f>
        <v>FES1162690799</v>
      </c>
      <c r="C2547" s="7">
        <v>43606</v>
      </c>
      <c r="D2547" s="6">
        <v>1</v>
      </c>
      <c r="E2547" s="6">
        <v>2170686510</v>
      </c>
      <c r="F2547" s="6" t="s">
        <v>16</v>
      </c>
      <c r="G2547" s="6" t="s">
        <v>17</v>
      </c>
      <c r="H2547" s="6" t="s">
        <v>17</v>
      </c>
      <c r="I2547" s="6" t="s">
        <v>103</v>
      </c>
      <c r="J2547" s="6" t="s">
        <v>3037</v>
      </c>
      <c r="K2547" s="7">
        <v>43607</v>
      </c>
      <c r="L2547" s="8">
        <v>0.33958333333333335</v>
      </c>
      <c r="M2547" s="6" t="s">
        <v>100</v>
      </c>
      <c r="N2547" s="6" t="s">
        <v>21</v>
      </c>
      <c r="O2547" s="6" t="s">
        <v>22</v>
      </c>
    </row>
    <row r="2548" spans="1:15" hidden="1">
      <c r="A2548" s="6" t="s">
        <v>15</v>
      </c>
      <c r="B2548" s="6" t="str">
        <f>"FES1162691027"</f>
        <v>FES1162691027</v>
      </c>
      <c r="C2548" s="7">
        <v>43606</v>
      </c>
      <c r="D2548" s="6">
        <v>1</v>
      </c>
      <c r="E2548" s="6">
        <v>2170688702</v>
      </c>
      <c r="F2548" s="6" t="s">
        <v>16</v>
      </c>
      <c r="G2548" s="6" t="s">
        <v>17</v>
      </c>
      <c r="H2548" s="6" t="s">
        <v>43</v>
      </c>
      <c r="I2548" s="6" t="s">
        <v>44</v>
      </c>
      <c r="J2548" s="6" t="s">
        <v>114</v>
      </c>
      <c r="K2548" s="7">
        <v>43607</v>
      </c>
      <c r="L2548" s="8">
        <v>0.40277777777777773</v>
      </c>
      <c r="M2548" s="6" t="s">
        <v>2275</v>
      </c>
      <c r="N2548" s="6" t="s">
        <v>21</v>
      </c>
      <c r="O2548" s="6" t="s">
        <v>22</v>
      </c>
    </row>
    <row r="2549" spans="1:15" hidden="1">
      <c r="A2549" s="6" t="s">
        <v>15</v>
      </c>
      <c r="B2549" s="6" t="str">
        <f>"FES1162690819"</f>
        <v>FES1162690819</v>
      </c>
      <c r="C2549" s="7">
        <v>43606</v>
      </c>
      <c r="D2549" s="6">
        <v>1</v>
      </c>
      <c r="E2549" s="6">
        <v>2170689077</v>
      </c>
      <c r="F2549" s="6" t="s">
        <v>16</v>
      </c>
      <c r="G2549" s="6" t="s">
        <v>17</v>
      </c>
      <c r="H2549" s="6" t="s">
        <v>59</v>
      </c>
      <c r="I2549" s="6" t="s">
        <v>18</v>
      </c>
      <c r="J2549" s="6" t="s">
        <v>19</v>
      </c>
      <c r="K2549" s="7">
        <v>43607</v>
      </c>
      <c r="L2549" s="8">
        <v>0.38819444444444445</v>
      </c>
      <c r="M2549" s="6" t="s">
        <v>1327</v>
      </c>
      <c r="N2549" s="6" t="s">
        <v>21</v>
      </c>
      <c r="O2549" s="6" t="s">
        <v>22</v>
      </c>
    </row>
    <row r="2550" spans="1:15" hidden="1">
      <c r="A2550" s="6" t="s">
        <v>15</v>
      </c>
      <c r="B2550" s="6" t="str">
        <f>"FES1162690913"</f>
        <v>FES1162690913</v>
      </c>
      <c r="C2550" s="7">
        <v>43606</v>
      </c>
      <c r="D2550" s="6">
        <v>1</v>
      </c>
      <c r="E2550" s="6">
        <v>2170688344</v>
      </c>
      <c r="F2550" s="6" t="s">
        <v>16</v>
      </c>
      <c r="G2550" s="6" t="s">
        <v>17</v>
      </c>
      <c r="H2550" s="6" t="s">
        <v>32</v>
      </c>
      <c r="I2550" s="6" t="s">
        <v>33</v>
      </c>
      <c r="J2550" s="6" t="s">
        <v>2917</v>
      </c>
      <c r="K2550" s="7">
        <v>43607</v>
      </c>
      <c r="L2550" s="8">
        <v>0.33333333333333331</v>
      </c>
      <c r="M2550" s="6" t="s">
        <v>2918</v>
      </c>
      <c r="N2550" s="6" t="s">
        <v>21</v>
      </c>
      <c r="O2550" s="6" t="s">
        <v>22</v>
      </c>
    </row>
    <row r="2551" spans="1:15">
      <c r="A2551" s="6" t="s">
        <v>15</v>
      </c>
      <c r="B2551" s="6" t="str">
        <f>"FES1162690867"</f>
        <v>FES1162690867</v>
      </c>
      <c r="C2551" s="7">
        <v>43606</v>
      </c>
      <c r="D2551" s="6">
        <v>1</v>
      </c>
      <c r="E2551" s="6">
        <v>217689341</v>
      </c>
      <c r="F2551" s="6" t="s">
        <v>16</v>
      </c>
      <c r="G2551" s="6" t="s">
        <v>17</v>
      </c>
      <c r="H2551" s="6" t="s">
        <v>17</v>
      </c>
      <c r="I2551" s="6" t="s">
        <v>148</v>
      </c>
      <c r="J2551" s="6" t="s">
        <v>162</v>
      </c>
      <c r="K2551" s="7">
        <v>43607</v>
      </c>
      <c r="L2551" s="8">
        <v>0.33333333333333331</v>
      </c>
      <c r="M2551" s="6" t="s">
        <v>163</v>
      </c>
      <c r="N2551" s="6" t="s">
        <v>21</v>
      </c>
      <c r="O2551" s="6" t="s">
        <v>22</v>
      </c>
    </row>
    <row r="2552" spans="1:15">
      <c r="A2552" s="6" t="s">
        <v>15</v>
      </c>
      <c r="B2552" s="6" t="str">
        <f>"RFES1162690489"</f>
        <v>RFES1162690489</v>
      </c>
      <c r="C2552" s="7">
        <v>43606</v>
      </c>
      <c r="D2552" s="6">
        <v>1</v>
      </c>
      <c r="E2552" s="6">
        <v>2170688964</v>
      </c>
      <c r="F2552" s="6" t="s">
        <v>16</v>
      </c>
      <c r="G2552" s="6" t="s">
        <v>17</v>
      </c>
      <c r="H2552" s="6" t="s">
        <v>17</v>
      </c>
      <c r="I2552" s="6" t="s">
        <v>64</v>
      </c>
      <c r="J2552" s="6" t="s">
        <v>476</v>
      </c>
      <c r="K2552" s="7">
        <v>43607</v>
      </c>
      <c r="L2552" s="8">
        <v>0.38263888888888892</v>
      </c>
      <c r="M2552" s="6" t="s">
        <v>2037</v>
      </c>
      <c r="N2552" s="6" t="s">
        <v>21</v>
      </c>
      <c r="O2552" s="6" t="s">
        <v>22</v>
      </c>
    </row>
    <row r="2553" spans="1:15">
      <c r="A2553" s="6" t="s">
        <v>15</v>
      </c>
      <c r="B2553" s="6" t="str">
        <f>"RFES1162690509"</f>
        <v>RFES1162690509</v>
      </c>
      <c r="C2553" s="7">
        <v>43606</v>
      </c>
      <c r="D2553" s="6">
        <v>1</v>
      </c>
      <c r="E2553" s="6">
        <v>2170688964</v>
      </c>
      <c r="F2553" s="6" t="s">
        <v>16</v>
      </c>
      <c r="G2553" s="6" t="s">
        <v>17</v>
      </c>
      <c r="H2553" s="6" t="s">
        <v>17</v>
      </c>
      <c r="I2553" s="6" t="s">
        <v>64</v>
      </c>
      <c r="J2553" s="6" t="s">
        <v>476</v>
      </c>
      <c r="K2553" s="7">
        <v>43607</v>
      </c>
      <c r="L2553" s="8">
        <v>0.38194444444444442</v>
      </c>
      <c r="M2553" s="6" t="s">
        <v>2037</v>
      </c>
      <c r="N2553" s="6" t="s">
        <v>21</v>
      </c>
      <c r="O2553" s="6" t="s">
        <v>22</v>
      </c>
    </row>
    <row r="2554" spans="1:15" hidden="1">
      <c r="A2554" s="6" t="s">
        <v>15</v>
      </c>
      <c r="B2554" s="6" t="str">
        <f>"FES1162690822"</f>
        <v>FES1162690822</v>
      </c>
      <c r="C2554" s="7">
        <v>43606</v>
      </c>
      <c r="D2554" s="6">
        <v>1</v>
      </c>
      <c r="E2554" s="6">
        <v>2170689192</v>
      </c>
      <c r="F2554" s="6" t="s">
        <v>16</v>
      </c>
      <c r="G2554" s="6" t="s">
        <v>17</v>
      </c>
      <c r="H2554" s="6" t="s">
        <v>32</v>
      </c>
      <c r="I2554" s="6" t="s">
        <v>33</v>
      </c>
      <c r="J2554" s="6" t="s">
        <v>284</v>
      </c>
      <c r="K2554" s="7">
        <v>43607</v>
      </c>
      <c r="L2554" s="8">
        <v>0.4375</v>
      </c>
      <c r="M2554" s="6" t="s">
        <v>1840</v>
      </c>
      <c r="N2554" s="6" t="s">
        <v>21</v>
      </c>
      <c r="O2554" s="6" t="s">
        <v>22</v>
      </c>
    </row>
    <row r="2555" spans="1:15" hidden="1">
      <c r="A2555" s="6" t="s">
        <v>15</v>
      </c>
      <c r="B2555" s="6" t="str">
        <f>"FES1162690871"</f>
        <v>FES1162690871</v>
      </c>
      <c r="C2555" s="7">
        <v>43606</v>
      </c>
      <c r="D2555" s="6">
        <v>1</v>
      </c>
      <c r="E2555" s="6">
        <v>2170689346</v>
      </c>
      <c r="F2555" s="6" t="s">
        <v>16</v>
      </c>
      <c r="G2555" s="6" t="s">
        <v>17</v>
      </c>
      <c r="H2555" s="6" t="s">
        <v>43</v>
      </c>
      <c r="I2555" s="6" t="s">
        <v>44</v>
      </c>
      <c r="J2555" s="6" t="s">
        <v>51</v>
      </c>
      <c r="K2555" s="7">
        <v>43607</v>
      </c>
      <c r="L2555" s="8">
        <v>0.34583333333333338</v>
      </c>
      <c r="M2555" s="6" t="s">
        <v>3735</v>
      </c>
      <c r="N2555" s="6" t="s">
        <v>21</v>
      </c>
      <c r="O2555" s="6" t="s">
        <v>22</v>
      </c>
    </row>
    <row r="2556" spans="1:15">
      <c r="A2556" s="6" t="s">
        <v>15</v>
      </c>
      <c r="B2556" s="6" t="str">
        <f>"FES1162690573"</f>
        <v>FES1162690573</v>
      </c>
      <c r="C2556" s="7">
        <v>43606</v>
      </c>
      <c r="D2556" s="6">
        <v>1</v>
      </c>
      <c r="E2556" s="6">
        <v>2170689053</v>
      </c>
      <c r="F2556" s="6" t="s">
        <v>16</v>
      </c>
      <c r="G2556" s="6" t="s">
        <v>17</v>
      </c>
      <c r="H2556" s="6" t="s">
        <v>17</v>
      </c>
      <c r="I2556" s="6" t="s">
        <v>64</v>
      </c>
      <c r="J2556" s="6" t="s">
        <v>155</v>
      </c>
      <c r="K2556" s="7">
        <v>43607</v>
      </c>
      <c r="L2556" s="8">
        <v>0.4381944444444445</v>
      </c>
      <c r="M2556" s="6" t="s">
        <v>2116</v>
      </c>
      <c r="N2556" s="6" t="s">
        <v>21</v>
      </c>
      <c r="O2556" s="6" t="s">
        <v>22</v>
      </c>
    </row>
    <row r="2557" spans="1:15" hidden="1">
      <c r="A2557" s="27" t="s">
        <v>15</v>
      </c>
      <c r="B2557" s="27" t="str">
        <f>"FES1162690886"</f>
        <v>FES1162690886</v>
      </c>
      <c r="C2557" s="28">
        <v>43606</v>
      </c>
      <c r="D2557" s="27">
        <v>1</v>
      </c>
      <c r="E2557" s="27">
        <v>2170687023</v>
      </c>
      <c r="F2557" s="27" t="s">
        <v>16</v>
      </c>
      <c r="G2557" s="27" t="s">
        <v>17</v>
      </c>
      <c r="H2557" s="27" t="s">
        <v>32</v>
      </c>
      <c r="I2557" s="27" t="s">
        <v>1198</v>
      </c>
      <c r="J2557" s="27" t="s">
        <v>1199</v>
      </c>
      <c r="K2557" s="27" t="s">
        <v>1730</v>
      </c>
      <c r="L2557" s="27"/>
      <c r="M2557" s="27" t="s">
        <v>1731</v>
      </c>
      <c r="N2557" s="27" t="s">
        <v>3736</v>
      </c>
      <c r="O2557" s="27" t="s">
        <v>3737</v>
      </c>
    </row>
    <row r="2558" spans="1:15" hidden="1">
      <c r="A2558" s="6" t="s">
        <v>15</v>
      </c>
      <c r="B2558" s="6" t="str">
        <f>"FES1162690851"</f>
        <v>FES1162690851</v>
      </c>
      <c r="C2558" s="7">
        <v>43606</v>
      </c>
      <c r="D2558" s="6">
        <v>1</v>
      </c>
      <c r="E2558" s="6">
        <v>2170689317</v>
      </c>
      <c r="F2558" s="6" t="s">
        <v>16</v>
      </c>
      <c r="G2558" s="6" t="s">
        <v>17</v>
      </c>
      <c r="H2558" s="6" t="s">
        <v>37</v>
      </c>
      <c r="I2558" s="6" t="s">
        <v>38</v>
      </c>
      <c r="J2558" s="6" t="s">
        <v>766</v>
      </c>
      <c r="K2558" s="7">
        <v>43607</v>
      </c>
      <c r="L2558" s="8">
        <v>0.38472222222222219</v>
      </c>
      <c r="M2558" s="6" t="s">
        <v>77</v>
      </c>
      <c r="N2558" s="6" t="s">
        <v>21</v>
      </c>
      <c r="O2558" s="6" t="s">
        <v>22</v>
      </c>
    </row>
    <row r="2559" spans="1:15" hidden="1">
      <c r="A2559" s="6" t="s">
        <v>15</v>
      </c>
      <c r="B2559" s="6" t="str">
        <f>"FES1162690968"</f>
        <v>FES1162690968</v>
      </c>
      <c r="C2559" s="7">
        <v>43606</v>
      </c>
      <c r="D2559" s="6">
        <v>1</v>
      </c>
      <c r="E2559" s="6">
        <v>2170689382</v>
      </c>
      <c r="F2559" s="6" t="s">
        <v>16</v>
      </c>
      <c r="G2559" s="6" t="s">
        <v>17</v>
      </c>
      <c r="H2559" s="6" t="s">
        <v>32</v>
      </c>
      <c r="I2559" s="6" t="s">
        <v>33</v>
      </c>
      <c r="J2559" s="6" t="s">
        <v>2432</v>
      </c>
      <c r="K2559" s="7">
        <v>43607</v>
      </c>
      <c r="L2559" s="8">
        <v>0.3888888888888889</v>
      </c>
      <c r="M2559" s="6" t="s">
        <v>2433</v>
      </c>
      <c r="N2559" s="6" t="s">
        <v>21</v>
      </c>
      <c r="O2559" s="6" t="s">
        <v>22</v>
      </c>
    </row>
    <row r="2560" spans="1:15" hidden="1">
      <c r="A2560" s="6" t="s">
        <v>15</v>
      </c>
      <c r="B2560" s="6" t="str">
        <f>"FES1162690894"</f>
        <v>FES1162690894</v>
      </c>
      <c r="C2560" s="7">
        <v>43606</v>
      </c>
      <c r="D2560" s="6">
        <v>1</v>
      </c>
      <c r="E2560" s="6">
        <v>2170687762</v>
      </c>
      <c r="F2560" s="6" t="s">
        <v>16</v>
      </c>
      <c r="G2560" s="6" t="s">
        <v>17</v>
      </c>
      <c r="H2560" s="6" t="s">
        <v>32</v>
      </c>
      <c r="I2560" s="6" t="s">
        <v>342</v>
      </c>
      <c r="J2560" s="6" t="s">
        <v>343</v>
      </c>
      <c r="K2560" s="7">
        <v>43607</v>
      </c>
      <c r="L2560" s="8">
        <v>0.40486111111111112</v>
      </c>
      <c r="M2560" s="6" t="s">
        <v>3738</v>
      </c>
      <c r="N2560" s="6" t="s">
        <v>21</v>
      </c>
      <c r="O2560" s="6" t="s">
        <v>22</v>
      </c>
    </row>
    <row r="2561" spans="1:15">
      <c r="A2561" s="6" t="s">
        <v>15</v>
      </c>
      <c r="B2561" s="6" t="str">
        <f>"FES1162690876"</f>
        <v>FES1162690876</v>
      </c>
      <c r="C2561" s="7">
        <v>43606</v>
      </c>
      <c r="D2561" s="6">
        <v>1</v>
      </c>
      <c r="E2561" s="6">
        <v>2170689352</v>
      </c>
      <c r="F2561" s="6" t="s">
        <v>16</v>
      </c>
      <c r="G2561" s="6" t="s">
        <v>17</v>
      </c>
      <c r="H2561" s="6" t="s">
        <v>17</v>
      </c>
      <c r="I2561" s="6" t="s">
        <v>18</v>
      </c>
      <c r="J2561" s="6" t="s">
        <v>19</v>
      </c>
      <c r="K2561" s="7">
        <v>43607</v>
      </c>
      <c r="L2561" s="8">
        <v>0.38819444444444445</v>
      </c>
      <c r="M2561" s="6" t="s">
        <v>1327</v>
      </c>
      <c r="N2561" s="6" t="s">
        <v>21</v>
      </c>
      <c r="O2561" s="6" t="s">
        <v>22</v>
      </c>
    </row>
    <row r="2562" spans="1:15">
      <c r="A2562" s="6" t="s">
        <v>15</v>
      </c>
      <c r="B2562" s="6" t="str">
        <f>"FES1162690902"</f>
        <v>FES1162690902</v>
      </c>
      <c r="C2562" s="7">
        <v>43606</v>
      </c>
      <c r="D2562" s="6">
        <v>1</v>
      </c>
      <c r="E2562" s="6">
        <v>2170687837</v>
      </c>
      <c r="F2562" s="6" t="s">
        <v>16</v>
      </c>
      <c r="G2562" s="6" t="s">
        <v>17</v>
      </c>
      <c r="H2562" s="6" t="s">
        <v>17</v>
      </c>
      <c r="I2562" s="6" t="s">
        <v>421</v>
      </c>
      <c r="J2562" s="6" t="s">
        <v>885</v>
      </c>
      <c r="K2562" s="7">
        <v>43607</v>
      </c>
      <c r="L2562" s="8">
        <v>0.33333333333333331</v>
      </c>
      <c r="M2562" s="6" t="s">
        <v>2275</v>
      </c>
      <c r="N2562" s="6" t="s">
        <v>21</v>
      </c>
      <c r="O2562" s="6" t="s">
        <v>22</v>
      </c>
    </row>
    <row r="2563" spans="1:15" hidden="1">
      <c r="A2563" s="6" t="s">
        <v>15</v>
      </c>
      <c r="B2563" s="6" t="str">
        <f>"FES1162690874"</f>
        <v>FES1162690874</v>
      </c>
      <c r="C2563" s="7">
        <v>43606</v>
      </c>
      <c r="D2563" s="6">
        <v>1</v>
      </c>
      <c r="E2563" s="6">
        <v>2170689350</v>
      </c>
      <c r="F2563" s="6" t="s">
        <v>16</v>
      </c>
      <c r="G2563" s="6" t="s">
        <v>17</v>
      </c>
      <c r="H2563" s="6" t="s">
        <v>43</v>
      </c>
      <c r="I2563" s="6" t="s">
        <v>738</v>
      </c>
      <c r="J2563" s="6" t="s">
        <v>942</v>
      </c>
      <c r="K2563" s="7">
        <v>43607</v>
      </c>
      <c r="L2563" s="8">
        <v>0.47916666666666669</v>
      </c>
      <c r="M2563" s="6" t="s">
        <v>3739</v>
      </c>
      <c r="N2563" s="6" t="s">
        <v>21</v>
      </c>
      <c r="O2563" s="6" t="s">
        <v>22</v>
      </c>
    </row>
    <row r="2564" spans="1:15" hidden="1">
      <c r="A2564" s="6" t="s">
        <v>15</v>
      </c>
      <c r="B2564" s="6" t="str">
        <f>"FES1162690912"</f>
        <v>FES1162690912</v>
      </c>
      <c r="C2564" s="7">
        <v>43606</v>
      </c>
      <c r="D2564" s="6">
        <v>1</v>
      </c>
      <c r="E2564" s="6">
        <v>2170688173</v>
      </c>
      <c r="F2564" s="6" t="s">
        <v>16</v>
      </c>
      <c r="G2564" s="6" t="s">
        <v>17</v>
      </c>
      <c r="H2564" s="6" t="s">
        <v>43</v>
      </c>
      <c r="I2564" s="6" t="s">
        <v>44</v>
      </c>
      <c r="J2564" s="6" t="s">
        <v>665</v>
      </c>
      <c r="K2564" s="7">
        <v>43607</v>
      </c>
      <c r="L2564" s="8">
        <v>0.31666666666666665</v>
      </c>
      <c r="M2564" s="6" t="s">
        <v>666</v>
      </c>
      <c r="N2564" s="6" t="s">
        <v>21</v>
      </c>
      <c r="O2564" s="6" t="s">
        <v>22</v>
      </c>
    </row>
    <row r="2565" spans="1:15" hidden="1">
      <c r="A2565" s="6" t="s">
        <v>15</v>
      </c>
      <c r="B2565" s="6" t="str">
        <f>"FES1162690901"</f>
        <v>FES1162690901</v>
      </c>
      <c r="C2565" s="7">
        <v>43606</v>
      </c>
      <c r="D2565" s="6">
        <v>1</v>
      </c>
      <c r="E2565" s="6">
        <v>2170687822</v>
      </c>
      <c r="F2565" s="6" t="s">
        <v>16</v>
      </c>
      <c r="G2565" s="6" t="s">
        <v>17</v>
      </c>
      <c r="H2565" s="6" t="s">
        <v>43</v>
      </c>
      <c r="I2565" s="6" t="s">
        <v>75</v>
      </c>
      <c r="J2565" s="6" t="s">
        <v>2472</v>
      </c>
      <c r="K2565" s="7">
        <v>43607</v>
      </c>
      <c r="L2565" s="8">
        <v>0.46111111111111108</v>
      </c>
      <c r="M2565" s="6" t="s">
        <v>2473</v>
      </c>
      <c r="N2565" s="6" t="s">
        <v>21</v>
      </c>
      <c r="O2565" s="6" t="s">
        <v>22</v>
      </c>
    </row>
    <row r="2566" spans="1:15" hidden="1">
      <c r="A2566" s="17" t="s">
        <v>15</v>
      </c>
      <c r="B2566" s="17" t="str">
        <f>"FES1162690948"</f>
        <v>FES1162690948</v>
      </c>
      <c r="C2566" s="18">
        <v>43606</v>
      </c>
      <c r="D2566" s="17">
        <v>1</v>
      </c>
      <c r="E2566" s="17">
        <v>2170687641</v>
      </c>
      <c r="F2566" s="17" t="s">
        <v>16</v>
      </c>
      <c r="G2566" s="17" t="s">
        <v>17</v>
      </c>
      <c r="H2566" s="17" t="s">
        <v>425</v>
      </c>
      <c r="I2566" s="17" t="s">
        <v>426</v>
      </c>
      <c r="J2566" s="17" t="s">
        <v>783</v>
      </c>
      <c r="K2566" s="18">
        <v>43607</v>
      </c>
      <c r="L2566" s="19">
        <v>0.46111111111111108</v>
      </c>
      <c r="M2566" s="17" t="s">
        <v>3740</v>
      </c>
      <c r="N2566" s="17" t="s">
        <v>21</v>
      </c>
      <c r="O2566" s="17" t="s">
        <v>3737</v>
      </c>
    </row>
    <row r="2567" spans="1:15" hidden="1">
      <c r="A2567" s="6" t="s">
        <v>15</v>
      </c>
      <c r="B2567" s="6" t="str">
        <f>"FES1162690837"</f>
        <v>FES1162690837</v>
      </c>
      <c r="C2567" s="7">
        <v>43606</v>
      </c>
      <c r="D2567" s="6">
        <v>1</v>
      </c>
      <c r="E2567" s="6">
        <v>2170689298</v>
      </c>
      <c r="F2567" s="6" t="s">
        <v>16</v>
      </c>
      <c r="G2567" s="6" t="s">
        <v>17</v>
      </c>
      <c r="H2567" s="6" t="s">
        <v>141</v>
      </c>
      <c r="I2567" s="6" t="s">
        <v>185</v>
      </c>
      <c r="J2567" s="6" t="s">
        <v>3741</v>
      </c>
      <c r="K2567" s="7">
        <v>43607</v>
      </c>
      <c r="L2567" s="8">
        <v>0.4055555555555555</v>
      </c>
      <c r="M2567" s="6" t="s">
        <v>3742</v>
      </c>
      <c r="N2567" s="6" t="s">
        <v>21</v>
      </c>
      <c r="O2567" s="6" t="s">
        <v>22</v>
      </c>
    </row>
    <row r="2568" spans="1:15" hidden="1">
      <c r="A2568" s="6" t="s">
        <v>15</v>
      </c>
      <c r="B2568" s="6" t="str">
        <f>"FES1162690934"</f>
        <v>FES1162690934</v>
      </c>
      <c r="C2568" s="7">
        <v>43606</v>
      </c>
      <c r="D2568" s="6">
        <v>1</v>
      </c>
      <c r="E2568" s="6">
        <v>2170687364</v>
      </c>
      <c r="F2568" s="6" t="s">
        <v>16</v>
      </c>
      <c r="G2568" s="6" t="s">
        <v>17</v>
      </c>
      <c r="H2568" s="6" t="s">
        <v>32</v>
      </c>
      <c r="I2568" s="6" t="s">
        <v>342</v>
      </c>
      <c r="J2568" s="6" t="s">
        <v>343</v>
      </c>
      <c r="K2568" s="7">
        <v>43607</v>
      </c>
      <c r="L2568" s="8">
        <v>0.40486111111111112</v>
      </c>
      <c r="M2568" s="6" t="s">
        <v>3738</v>
      </c>
      <c r="N2568" s="6" t="s">
        <v>21</v>
      </c>
      <c r="O2568" s="6" t="s">
        <v>22</v>
      </c>
    </row>
    <row r="2569" spans="1:15" hidden="1">
      <c r="A2569" s="6" t="s">
        <v>15</v>
      </c>
      <c r="B2569" s="6" t="str">
        <f>"FES1162690865"</f>
        <v>FES1162690865</v>
      </c>
      <c r="C2569" s="7">
        <v>43606</v>
      </c>
      <c r="D2569" s="6">
        <v>1</v>
      </c>
      <c r="E2569" s="6">
        <v>2172689338</v>
      </c>
      <c r="F2569" s="6" t="s">
        <v>16</v>
      </c>
      <c r="G2569" s="6" t="s">
        <v>17</v>
      </c>
      <c r="H2569" s="6" t="s">
        <v>43</v>
      </c>
      <c r="I2569" s="6" t="s">
        <v>44</v>
      </c>
      <c r="J2569" s="6" t="s">
        <v>48</v>
      </c>
      <c r="K2569" s="7">
        <v>43607</v>
      </c>
      <c r="L2569" s="8">
        <v>0.30972222222222223</v>
      </c>
      <c r="M2569" s="6" t="s">
        <v>3253</v>
      </c>
      <c r="N2569" s="6" t="s">
        <v>21</v>
      </c>
      <c r="O2569" s="6" t="s">
        <v>22</v>
      </c>
    </row>
    <row r="2570" spans="1:15" hidden="1">
      <c r="A2570" s="6" t="s">
        <v>15</v>
      </c>
      <c r="B2570" s="6" t="str">
        <f>"FES1162690802"</f>
        <v>FES1162690802</v>
      </c>
      <c r="C2570" s="7">
        <v>43606</v>
      </c>
      <c r="D2570" s="6">
        <v>1</v>
      </c>
      <c r="E2570" s="6">
        <v>2170687790</v>
      </c>
      <c r="F2570" s="6" t="s">
        <v>16</v>
      </c>
      <c r="G2570" s="6" t="s">
        <v>17</v>
      </c>
      <c r="H2570" s="6" t="s">
        <v>141</v>
      </c>
      <c r="I2570" s="6" t="s">
        <v>142</v>
      </c>
      <c r="J2570" s="6" t="s">
        <v>195</v>
      </c>
      <c r="K2570" s="7">
        <v>43607</v>
      </c>
      <c r="L2570" s="8">
        <v>0.2986111111111111</v>
      </c>
      <c r="M2570" s="6" t="s">
        <v>588</v>
      </c>
      <c r="N2570" s="6" t="s">
        <v>21</v>
      </c>
      <c r="O2570" s="6" t="s">
        <v>22</v>
      </c>
    </row>
    <row r="2571" spans="1:15" hidden="1">
      <c r="A2571" s="6" t="s">
        <v>15</v>
      </c>
      <c r="B2571" s="6" t="str">
        <f>"FES1162690987"</f>
        <v>FES1162690987</v>
      </c>
      <c r="C2571" s="7">
        <v>43606</v>
      </c>
      <c r="D2571" s="6">
        <v>1</v>
      </c>
      <c r="E2571" s="6">
        <v>2170689407</v>
      </c>
      <c r="F2571" s="6" t="s">
        <v>16</v>
      </c>
      <c r="G2571" s="6" t="s">
        <v>17</v>
      </c>
      <c r="H2571" s="6" t="s">
        <v>32</v>
      </c>
      <c r="I2571" s="6" t="s">
        <v>33</v>
      </c>
      <c r="J2571" s="6" t="s">
        <v>360</v>
      </c>
      <c r="K2571" s="7">
        <v>43607</v>
      </c>
      <c r="L2571" s="8">
        <v>0.35416666666666669</v>
      </c>
      <c r="M2571" s="6" t="s">
        <v>361</v>
      </c>
      <c r="N2571" s="6" t="s">
        <v>21</v>
      </c>
      <c r="O2571" s="6" t="s">
        <v>22</v>
      </c>
    </row>
    <row r="2572" spans="1:15" hidden="1">
      <c r="A2572" s="6" t="s">
        <v>15</v>
      </c>
      <c r="B2572" s="6" t="str">
        <f>"FES1162690843"</f>
        <v>FES1162690843</v>
      </c>
      <c r="C2572" s="7">
        <v>43606</v>
      </c>
      <c r="D2572" s="6">
        <v>1</v>
      </c>
      <c r="E2572" s="6">
        <v>2170689305</v>
      </c>
      <c r="F2572" s="6" t="s">
        <v>16</v>
      </c>
      <c r="G2572" s="6" t="s">
        <v>17</v>
      </c>
      <c r="H2572" s="6" t="s">
        <v>141</v>
      </c>
      <c r="I2572" s="6" t="s">
        <v>854</v>
      </c>
      <c r="J2572" s="6" t="s">
        <v>578</v>
      </c>
      <c r="K2572" s="7">
        <v>43607</v>
      </c>
      <c r="L2572" s="8">
        <v>0.38611111111111113</v>
      </c>
      <c r="M2572" s="6" t="s">
        <v>3743</v>
      </c>
      <c r="N2572" s="6" t="s">
        <v>21</v>
      </c>
      <c r="O2572" s="6" t="s">
        <v>22</v>
      </c>
    </row>
    <row r="2573" spans="1:15" hidden="1">
      <c r="A2573" s="6" t="s">
        <v>15</v>
      </c>
      <c r="B2573" s="6" t="str">
        <f>"FES1162690919"</f>
        <v>FES1162690919</v>
      </c>
      <c r="C2573" s="7">
        <v>43606</v>
      </c>
      <c r="D2573" s="6">
        <v>1</v>
      </c>
      <c r="E2573" s="6">
        <v>2170689364</v>
      </c>
      <c r="F2573" s="6" t="s">
        <v>16</v>
      </c>
      <c r="G2573" s="6" t="s">
        <v>17</v>
      </c>
      <c r="H2573" s="6" t="s">
        <v>32</v>
      </c>
      <c r="I2573" s="6" t="s">
        <v>342</v>
      </c>
      <c r="J2573" s="6" t="s">
        <v>949</v>
      </c>
      <c r="K2573" s="7">
        <v>43607</v>
      </c>
      <c r="L2573" s="8">
        <v>0.49513888888888885</v>
      </c>
      <c r="M2573" s="6" t="s">
        <v>3390</v>
      </c>
      <c r="N2573" s="6" t="s">
        <v>21</v>
      </c>
      <c r="O2573" s="6" t="s">
        <v>22</v>
      </c>
    </row>
    <row r="2574" spans="1:15" hidden="1">
      <c r="A2574" s="6" t="s">
        <v>15</v>
      </c>
      <c r="B2574" s="6" t="str">
        <f>"FES1162690806"</f>
        <v>FES1162690806</v>
      </c>
      <c r="C2574" s="7">
        <v>43606</v>
      </c>
      <c r="D2574" s="6">
        <v>1</v>
      </c>
      <c r="E2574" s="6">
        <v>2170687860</v>
      </c>
      <c r="F2574" s="6" t="s">
        <v>16</v>
      </c>
      <c r="G2574" s="6" t="s">
        <v>17</v>
      </c>
      <c r="H2574" s="6" t="s">
        <v>440</v>
      </c>
      <c r="I2574" s="6" t="s">
        <v>441</v>
      </c>
      <c r="J2574" s="6" t="s">
        <v>317</v>
      </c>
      <c r="K2574" s="7">
        <v>43606</v>
      </c>
      <c r="L2574" s="8">
        <v>0.39583333333333331</v>
      </c>
      <c r="M2574" s="6" t="s">
        <v>3744</v>
      </c>
      <c r="N2574" s="6" t="s">
        <v>21</v>
      </c>
      <c r="O2574" s="6" t="s">
        <v>22</v>
      </c>
    </row>
    <row r="2575" spans="1:15" hidden="1">
      <c r="A2575" s="6" t="s">
        <v>15</v>
      </c>
      <c r="B2575" s="6" t="str">
        <f>"FES1162690808"</f>
        <v>FES1162690808</v>
      </c>
      <c r="C2575" s="7">
        <v>43606</v>
      </c>
      <c r="D2575" s="6">
        <v>1</v>
      </c>
      <c r="E2575" s="6">
        <v>2170688258</v>
      </c>
      <c r="F2575" s="6" t="s">
        <v>16</v>
      </c>
      <c r="G2575" s="6" t="s">
        <v>17</v>
      </c>
      <c r="H2575" s="6" t="s">
        <v>141</v>
      </c>
      <c r="I2575" s="6" t="s">
        <v>142</v>
      </c>
      <c r="J2575" s="6" t="s">
        <v>1718</v>
      </c>
      <c r="K2575" s="7">
        <v>43607</v>
      </c>
      <c r="L2575" s="8">
        <v>0.39930555555555558</v>
      </c>
      <c r="M2575" s="6" t="s">
        <v>3745</v>
      </c>
      <c r="N2575" s="6" t="s">
        <v>21</v>
      </c>
      <c r="O2575" s="6" t="s">
        <v>22</v>
      </c>
    </row>
    <row r="2576" spans="1:15" hidden="1">
      <c r="A2576" s="6" t="s">
        <v>15</v>
      </c>
      <c r="B2576" s="6" t="str">
        <f>"FES1162690848"</f>
        <v>FES1162690848</v>
      </c>
      <c r="C2576" s="7">
        <v>43606</v>
      </c>
      <c r="D2576" s="6">
        <v>1</v>
      </c>
      <c r="E2576" s="6">
        <v>21706898311</v>
      </c>
      <c r="F2576" s="6" t="s">
        <v>16</v>
      </c>
      <c r="G2576" s="6" t="s">
        <v>17</v>
      </c>
      <c r="H2576" s="6" t="s">
        <v>141</v>
      </c>
      <c r="I2576" s="6" t="s">
        <v>142</v>
      </c>
      <c r="J2576" s="6" t="s">
        <v>976</v>
      </c>
      <c r="K2576" s="7">
        <v>43607</v>
      </c>
      <c r="L2576" s="8">
        <v>0.43402777777777773</v>
      </c>
      <c r="M2576" s="6" t="s">
        <v>3075</v>
      </c>
      <c r="N2576" s="6" t="s">
        <v>21</v>
      </c>
      <c r="O2576" s="6" t="s">
        <v>22</v>
      </c>
    </row>
    <row r="2577" spans="1:15" hidden="1">
      <c r="A2577" s="6" t="s">
        <v>15</v>
      </c>
      <c r="B2577" s="6" t="str">
        <f>"FES1162690842"</f>
        <v>FES1162690842</v>
      </c>
      <c r="C2577" s="7">
        <v>43606</v>
      </c>
      <c r="D2577" s="6">
        <v>1</v>
      </c>
      <c r="E2577" s="6">
        <v>217689034</v>
      </c>
      <c r="F2577" s="6" t="s">
        <v>16</v>
      </c>
      <c r="G2577" s="6" t="s">
        <v>17</v>
      </c>
      <c r="H2577" s="6" t="s">
        <v>141</v>
      </c>
      <c r="I2577" s="6" t="s">
        <v>185</v>
      </c>
      <c r="J2577" s="6" t="s">
        <v>3741</v>
      </c>
      <c r="K2577" s="7">
        <v>43607</v>
      </c>
      <c r="L2577" s="8">
        <v>0.4055555555555555</v>
      </c>
      <c r="M2577" s="6" t="s">
        <v>3742</v>
      </c>
      <c r="N2577" s="6" t="s">
        <v>21</v>
      </c>
      <c r="O2577" s="6" t="s">
        <v>22</v>
      </c>
    </row>
    <row r="2578" spans="1:15" hidden="1">
      <c r="A2578" s="6" t="s">
        <v>15</v>
      </c>
      <c r="B2578" s="6" t="str">
        <f>"FES1162690830"</f>
        <v>FES1162690830</v>
      </c>
      <c r="C2578" s="7">
        <v>43606</v>
      </c>
      <c r="D2578" s="6">
        <v>1</v>
      </c>
      <c r="E2578" s="6">
        <v>2170689285</v>
      </c>
      <c r="F2578" s="6" t="s">
        <v>16</v>
      </c>
      <c r="G2578" s="6" t="s">
        <v>17</v>
      </c>
      <c r="H2578" s="6" t="s">
        <v>32</v>
      </c>
      <c r="I2578" s="6" t="s">
        <v>33</v>
      </c>
      <c r="J2578" s="6" t="s">
        <v>3746</v>
      </c>
      <c r="K2578" s="7">
        <v>43607</v>
      </c>
      <c r="L2578" s="8">
        <v>0.40972222222222227</v>
      </c>
      <c r="M2578" s="6" t="s">
        <v>3747</v>
      </c>
      <c r="N2578" s="6" t="s">
        <v>21</v>
      </c>
      <c r="O2578" s="6" t="s">
        <v>22</v>
      </c>
    </row>
    <row r="2579" spans="1:15" hidden="1">
      <c r="A2579" s="6" t="s">
        <v>15</v>
      </c>
      <c r="B2579" s="6" t="str">
        <f>"FES1162690982"</f>
        <v>FES1162690982</v>
      </c>
      <c r="C2579" s="7">
        <v>43606</v>
      </c>
      <c r="D2579" s="6">
        <v>1</v>
      </c>
      <c r="E2579" s="6">
        <v>2170689404</v>
      </c>
      <c r="F2579" s="6" t="s">
        <v>16</v>
      </c>
      <c r="G2579" s="6" t="s">
        <v>17</v>
      </c>
      <c r="H2579" s="6" t="s">
        <v>32</v>
      </c>
      <c r="I2579" s="6" t="s">
        <v>33</v>
      </c>
      <c r="J2579" s="6" t="s">
        <v>365</v>
      </c>
      <c r="K2579" s="7">
        <v>43607</v>
      </c>
      <c r="L2579" s="8">
        <v>0.38541666666666669</v>
      </c>
      <c r="M2579" s="6" t="s">
        <v>3574</v>
      </c>
      <c r="N2579" s="6" t="s">
        <v>21</v>
      </c>
      <c r="O2579" s="6" t="s">
        <v>22</v>
      </c>
    </row>
    <row r="2580" spans="1:15" hidden="1">
      <c r="A2580" s="6" t="s">
        <v>15</v>
      </c>
      <c r="B2580" s="6" t="str">
        <f>"FES1162690989"</f>
        <v>FES1162690989</v>
      </c>
      <c r="C2580" s="7">
        <v>43606</v>
      </c>
      <c r="D2580" s="6">
        <v>1</v>
      </c>
      <c r="E2580" s="6">
        <v>217068409</v>
      </c>
      <c r="F2580" s="6" t="s">
        <v>16</v>
      </c>
      <c r="G2580" s="6" t="s">
        <v>17</v>
      </c>
      <c r="H2580" s="6" t="s">
        <v>32</v>
      </c>
      <c r="I2580" s="6" t="s">
        <v>33</v>
      </c>
      <c r="J2580" s="6" t="s">
        <v>365</v>
      </c>
      <c r="K2580" s="7">
        <v>43607</v>
      </c>
      <c r="L2580" s="8">
        <v>0.38541666666666669</v>
      </c>
      <c r="M2580" s="6" t="s">
        <v>3574</v>
      </c>
      <c r="N2580" s="6" t="s">
        <v>21</v>
      </c>
      <c r="O2580" s="6" t="s">
        <v>22</v>
      </c>
    </row>
    <row r="2581" spans="1:15" hidden="1">
      <c r="A2581" s="6" t="s">
        <v>15</v>
      </c>
      <c r="B2581" s="6" t="str">
        <f>"FES1162691014"</f>
        <v>FES1162691014</v>
      </c>
      <c r="C2581" s="7">
        <v>43606</v>
      </c>
      <c r="D2581" s="6">
        <v>1</v>
      </c>
      <c r="E2581" s="6">
        <v>217689432</v>
      </c>
      <c r="F2581" s="6" t="s">
        <v>16</v>
      </c>
      <c r="G2581" s="6" t="s">
        <v>17</v>
      </c>
      <c r="H2581" s="6" t="s">
        <v>32</v>
      </c>
      <c r="I2581" s="6" t="s">
        <v>33</v>
      </c>
      <c r="J2581" s="6" t="s">
        <v>778</v>
      </c>
      <c r="K2581" s="7">
        <v>43607</v>
      </c>
      <c r="L2581" s="8">
        <v>0.4069444444444445</v>
      </c>
      <c r="M2581" s="6" t="s">
        <v>779</v>
      </c>
      <c r="N2581" s="6" t="s">
        <v>21</v>
      </c>
      <c r="O2581" s="6" t="s">
        <v>22</v>
      </c>
    </row>
    <row r="2582" spans="1:15" hidden="1">
      <c r="A2582" s="6" t="s">
        <v>15</v>
      </c>
      <c r="B2582" s="6" t="str">
        <f>"FES1162690795"</f>
        <v>FES1162690795</v>
      </c>
      <c r="C2582" s="7">
        <v>43606</v>
      </c>
      <c r="D2582" s="6">
        <v>1</v>
      </c>
      <c r="E2582" s="6">
        <v>2170685773</v>
      </c>
      <c r="F2582" s="6" t="s">
        <v>16</v>
      </c>
      <c r="G2582" s="6" t="s">
        <v>17</v>
      </c>
      <c r="H2582" s="6" t="s">
        <v>141</v>
      </c>
      <c r="I2582" s="6" t="s">
        <v>185</v>
      </c>
      <c r="J2582" s="6" t="s">
        <v>503</v>
      </c>
      <c r="K2582" s="7">
        <v>43607</v>
      </c>
      <c r="L2582" s="8">
        <v>0.42777777777777781</v>
      </c>
      <c r="M2582" s="6" t="s">
        <v>3748</v>
      </c>
      <c r="N2582" s="6" t="s">
        <v>21</v>
      </c>
      <c r="O2582" s="6" t="s">
        <v>22</v>
      </c>
    </row>
    <row r="2583" spans="1:15" hidden="1">
      <c r="A2583" s="6" t="s">
        <v>15</v>
      </c>
      <c r="B2583" s="6" t="str">
        <f>"FES1162690878"</f>
        <v>FES1162690878</v>
      </c>
      <c r="C2583" s="7">
        <v>43606</v>
      </c>
      <c r="D2583" s="6">
        <v>1</v>
      </c>
      <c r="E2583" s="6">
        <v>2170689355</v>
      </c>
      <c r="F2583" s="6" t="s">
        <v>16</v>
      </c>
      <c r="G2583" s="6" t="s">
        <v>17</v>
      </c>
      <c r="H2583" s="6" t="s">
        <v>32</v>
      </c>
      <c r="I2583" s="6" t="s">
        <v>269</v>
      </c>
      <c r="J2583" s="6" t="s">
        <v>683</v>
      </c>
      <c r="K2583" s="7">
        <v>43607</v>
      </c>
      <c r="L2583" s="8">
        <v>0.35069444444444442</v>
      </c>
      <c r="M2583" s="6" t="s">
        <v>684</v>
      </c>
      <c r="N2583" s="6" t="s">
        <v>21</v>
      </c>
      <c r="O2583" s="6" t="s">
        <v>22</v>
      </c>
    </row>
    <row r="2584" spans="1:15" hidden="1">
      <c r="A2584" s="17" t="s">
        <v>15</v>
      </c>
      <c r="B2584" s="17" t="str">
        <f>"FES1162690965"</f>
        <v>FES1162690965</v>
      </c>
      <c r="C2584" s="18">
        <v>43606</v>
      </c>
      <c r="D2584" s="17">
        <v>1</v>
      </c>
      <c r="E2584" s="17">
        <v>2170687793</v>
      </c>
      <c r="F2584" s="17" t="s">
        <v>16</v>
      </c>
      <c r="G2584" s="17" t="s">
        <v>17</v>
      </c>
      <c r="H2584" s="17" t="s">
        <v>32</v>
      </c>
      <c r="I2584" s="17" t="s">
        <v>2021</v>
      </c>
      <c r="J2584" s="17" t="s">
        <v>2022</v>
      </c>
      <c r="K2584" s="18">
        <v>43607</v>
      </c>
      <c r="L2584" s="19">
        <v>0.35069444444444442</v>
      </c>
      <c r="M2584" s="17" t="s">
        <v>3749</v>
      </c>
      <c r="N2584" s="17" t="s">
        <v>21</v>
      </c>
      <c r="O2584" s="17" t="s">
        <v>3737</v>
      </c>
    </row>
    <row r="2585" spans="1:15" hidden="1">
      <c r="A2585" s="6" t="s">
        <v>15</v>
      </c>
      <c r="B2585" s="6" t="str">
        <f>"FES1162690985"</f>
        <v>FES1162690985</v>
      </c>
      <c r="C2585" s="7">
        <v>43606</v>
      </c>
      <c r="D2585" s="6">
        <v>1</v>
      </c>
      <c r="E2585" s="6">
        <v>2170689397</v>
      </c>
      <c r="F2585" s="6" t="s">
        <v>16</v>
      </c>
      <c r="G2585" s="6" t="s">
        <v>17</v>
      </c>
      <c r="H2585" s="6" t="s">
        <v>37</v>
      </c>
      <c r="I2585" s="6" t="s">
        <v>38</v>
      </c>
      <c r="J2585" s="6" t="s">
        <v>2655</v>
      </c>
      <c r="K2585" s="7">
        <v>43607</v>
      </c>
      <c r="L2585" s="8">
        <v>0.40972222222222227</v>
      </c>
      <c r="M2585" s="6" t="s">
        <v>3750</v>
      </c>
      <c r="N2585" s="6" t="s">
        <v>21</v>
      </c>
      <c r="O2585" s="6" t="s">
        <v>22</v>
      </c>
    </row>
    <row r="2586" spans="1:15" hidden="1">
      <c r="A2586" s="6" t="s">
        <v>15</v>
      </c>
      <c r="B2586" s="6" t="str">
        <f>"FES1162690810"</f>
        <v>FES1162690810</v>
      </c>
      <c r="C2586" s="7">
        <v>43606</v>
      </c>
      <c r="D2586" s="6">
        <v>1</v>
      </c>
      <c r="E2586" s="6">
        <v>2170688424</v>
      </c>
      <c r="F2586" s="6" t="s">
        <v>16</v>
      </c>
      <c r="G2586" s="6" t="s">
        <v>17</v>
      </c>
      <c r="H2586" s="6" t="s">
        <v>141</v>
      </c>
      <c r="I2586" s="6" t="s">
        <v>433</v>
      </c>
      <c r="J2586" s="6" t="s">
        <v>609</v>
      </c>
      <c r="K2586" s="7">
        <v>43607</v>
      </c>
      <c r="L2586" s="8">
        <v>0.36319444444444443</v>
      </c>
      <c r="M2586" s="6" t="s">
        <v>3751</v>
      </c>
      <c r="N2586" s="6" t="s">
        <v>21</v>
      </c>
      <c r="O2586" s="6" t="s">
        <v>22</v>
      </c>
    </row>
    <row r="2587" spans="1:15" hidden="1">
      <c r="A2587" s="6" t="s">
        <v>15</v>
      </c>
      <c r="B2587" s="6" t="str">
        <f>"FES1162690975"</f>
        <v>FES1162690975</v>
      </c>
      <c r="C2587" s="7">
        <v>43606</v>
      </c>
      <c r="D2587" s="6">
        <v>1</v>
      </c>
      <c r="E2587" s="6">
        <v>2170689347</v>
      </c>
      <c r="F2587" s="6" t="s">
        <v>16</v>
      </c>
      <c r="G2587" s="6" t="s">
        <v>17</v>
      </c>
      <c r="H2587" s="6" t="s">
        <v>59</v>
      </c>
      <c r="I2587" s="6" t="s">
        <v>18</v>
      </c>
      <c r="J2587" s="6" t="s">
        <v>19</v>
      </c>
      <c r="K2587" s="7">
        <v>43607</v>
      </c>
      <c r="L2587" s="8">
        <v>0.38819444444444445</v>
      </c>
      <c r="M2587" s="6" t="s">
        <v>1327</v>
      </c>
      <c r="N2587" s="6" t="s">
        <v>21</v>
      </c>
      <c r="O2587" s="6" t="s">
        <v>22</v>
      </c>
    </row>
    <row r="2588" spans="1:15">
      <c r="A2588" s="6" t="s">
        <v>15</v>
      </c>
      <c r="B2588" s="6" t="str">
        <f>"FES1162690941"</f>
        <v>FES1162690941</v>
      </c>
      <c r="C2588" s="7">
        <v>43606</v>
      </c>
      <c r="D2588" s="6">
        <v>1</v>
      </c>
      <c r="E2588" s="6">
        <v>2170687488</v>
      </c>
      <c r="F2588" s="6" t="s">
        <v>16</v>
      </c>
      <c r="G2588" s="6" t="s">
        <v>17</v>
      </c>
      <c r="H2588" s="6" t="s">
        <v>17</v>
      </c>
      <c r="I2588" s="6" t="s">
        <v>64</v>
      </c>
      <c r="J2588" s="6" t="s">
        <v>552</v>
      </c>
      <c r="K2588" s="7">
        <v>43607</v>
      </c>
      <c r="L2588" s="8">
        <v>0.41597222222222219</v>
      </c>
      <c r="M2588" s="6" t="s">
        <v>1144</v>
      </c>
      <c r="N2588" s="6" t="s">
        <v>21</v>
      </c>
      <c r="O2588" s="6" t="s">
        <v>22</v>
      </c>
    </row>
    <row r="2589" spans="1:15">
      <c r="A2589" s="6" t="s">
        <v>15</v>
      </c>
      <c r="B2589" s="6" t="str">
        <f>"FES1162690899"</f>
        <v>FES1162690899</v>
      </c>
      <c r="C2589" s="7">
        <v>43606</v>
      </c>
      <c r="D2589" s="6">
        <v>1</v>
      </c>
      <c r="E2589" s="6">
        <v>2170687803</v>
      </c>
      <c r="F2589" s="6" t="s">
        <v>16</v>
      </c>
      <c r="G2589" s="6" t="s">
        <v>17</v>
      </c>
      <c r="H2589" s="6" t="s">
        <v>17</v>
      </c>
      <c r="I2589" s="6" t="s">
        <v>18</v>
      </c>
      <c r="J2589" s="6" t="s">
        <v>3277</v>
      </c>
      <c r="K2589" s="7">
        <v>43607</v>
      </c>
      <c r="L2589" s="8">
        <v>0.38125000000000003</v>
      </c>
      <c r="M2589" s="6" t="s">
        <v>3752</v>
      </c>
      <c r="N2589" s="6" t="s">
        <v>21</v>
      </c>
      <c r="O2589" s="6" t="s">
        <v>22</v>
      </c>
    </row>
    <row r="2590" spans="1:15">
      <c r="A2590" s="17" t="s">
        <v>15</v>
      </c>
      <c r="B2590" s="17" t="str">
        <f>"FES1162690850"</f>
        <v>FES1162690850</v>
      </c>
      <c r="C2590" s="18">
        <v>43606</v>
      </c>
      <c r="D2590" s="17">
        <v>1</v>
      </c>
      <c r="E2590" s="17">
        <v>2170683016</v>
      </c>
      <c r="F2590" s="17" t="s">
        <v>16</v>
      </c>
      <c r="G2590" s="17" t="s">
        <v>17</v>
      </c>
      <c r="H2590" s="17" t="s">
        <v>17</v>
      </c>
      <c r="I2590" s="17" t="s">
        <v>64</v>
      </c>
      <c r="J2590" s="17" t="s">
        <v>509</v>
      </c>
      <c r="K2590" s="18">
        <v>43607</v>
      </c>
      <c r="L2590" s="19">
        <v>0.38125000000000003</v>
      </c>
      <c r="M2590" s="17" t="s">
        <v>3753</v>
      </c>
      <c r="N2590" s="17" t="s">
        <v>21</v>
      </c>
      <c r="O2590" s="17" t="s">
        <v>22</v>
      </c>
    </row>
    <row r="2591" spans="1:15">
      <c r="A2591" s="6" t="s">
        <v>15</v>
      </c>
      <c r="B2591" s="6" t="str">
        <f>"FES1162690909"</f>
        <v>FES1162690909</v>
      </c>
      <c r="C2591" s="7">
        <v>43606</v>
      </c>
      <c r="D2591" s="6">
        <v>1</v>
      </c>
      <c r="E2591" s="6">
        <v>2170687931</v>
      </c>
      <c r="F2591" s="6" t="s">
        <v>16</v>
      </c>
      <c r="G2591" s="6" t="s">
        <v>17</v>
      </c>
      <c r="H2591" s="6" t="s">
        <v>17</v>
      </c>
      <c r="I2591" s="6" t="s">
        <v>103</v>
      </c>
      <c r="J2591" s="6" t="s">
        <v>3551</v>
      </c>
      <c r="K2591" s="7">
        <v>43607</v>
      </c>
      <c r="L2591" s="8">
        <v>0.40277777777777773</v>
      </c>
      <c r="M2591" s="6" t="s">
        <v>3754</v>
      </c>
      <c r="N2591" s="6" t="s">
        <v>21</v>
      </c>
      <c r="O2591" s="6" t="s">
        <v>22</v>
      </c>
    </row>
    <row r="2592" spans="1:15">
      <c r="A2592" s="6" t="s">
        <v>15</v>
      </c>
      <c r="B2592" s="6" t="str">
        <f>"FES1162690798"</f>
        <v>FES1162690798</v>
      </c>
      <c r="C2592" s="7">
        <v>43606</v>
      </c>
      <c r="D2592" s="6">
        <v>1</v>
      </c>
      <c r="E2592" s="6">
        <v>2170686509</v>
      </c>
      <c r="F2592" s="6" t="s">
        <v>16</v>
      </c>
      <c r="G2592" s="6" t="s">
        <v>17</v>
      </c>
      <c r="H2592" s="6" t="s">
        <v>17</v>
      </c>
      <c r="I2592" s="6" t="s">
        <v>103</v>
      </c>
      <c r="J2592" s="6" t="s">
        <v>3037</v>
      </c>
      <c r="K2592" s="7">
        <v>43607</v>
      </c>
      <c r="L2592" s="8">
        <v>0.33958333333333335</v>
      </c>
      <c r="M2592" s="6" t="s">
        <v>3755</v>
      </c>
      <c r="N2592" s="6" t="s">
        <v>21</v>
      </c>
      <c r="O2592" s="6" t="s">
        <v>22</v>
      </c>
    </row>
    <row r="2593" spans="1:15">
      <c r="A2593" s="6" t="s">
        <v>15</v>
      </c>
      <c r="B2593" s="6" t="str">
        <f>"FES1162690962"</f>
        <v>FES1162690962</v>
      </c>
      <c r="C2593" s="7">
        <v>43606</v>
      </c>
      <c r="D2593" s="6">
        <v>1</v>
      </c>
      <c r="E2593" s="6">
        <v>2170689376</v>
      </c>
      <c r="F2593" s="6" t="s">
        <v>16</v>
      </c>
      <c r="G2593" s="6" t="s">
        <v>17</v>
      </c>
      <c r="H2593" s="6" t="s">
        <v>17</v>
      </c>
      <c r="I2593" s="6" t="s">
        <v>18</v>
      </c>
      <c r="J2593" s="6" t="s">
        <v>3756</v>
      </c>
      <c r="K2593" s="7">
        <v>43607</v>
      </c>
      <c r="L2593" s="8">
        <v>0.33333333333333331</v>
      </c>
      <c r="M2593" s="6" t="s">
        <v>3757</v>
      </c>
      <c r="N2593" s="6" t="s">
        <v>21</v>
      </c>
      <c r="O2593" s="6" t="s">
        <v>22</v>
      </c>
    </row>
    <row r="2594" spans="1:15" hidden="1">
      <c r="A2594" s="6" t="s">
        <v>15</v>
      </c>
      <c r="B2594" s="6" t="str">
        <f>"009935723274"</f>
        <v>009935723274</v>
      </c>
      <c r="C2594" s="7">
        <v>43606</v>
      </c>
      <c r="D2594" s="6">
        <v>1</v>
      </c>
      <c r="E2594" s="6" t="s">
        <v>3266</v>
      </c>
      <c r="F2594" s="6" t="s">
        <v>16</v>
      </c>
      <c r="G2594" s="6" t="s">
        <v>17</v>
      </c>
      <c r="H2594" s="6" t="s">
        <v>43</v>
      </c>
      <c r="I2594" s="6" t="s">
        <v>44</v>
      </c>
      <c r="J2594" s="6" t="s">
        <v>607</v>
      </c>
      <c r="K2594" s="7">
        <v>43607</v>
      </c>
      <c r="L2594" s="8">
        <v>0.42708333333333331</v>
      </c>
      <c r="M2594" s="6" t="s">
        <v>570</v>
      </c>
      <c r="N2594" s="6" t="s">
        <v>21</v>
      </c>
      <c r="O2594" s="6" t="s">
        <v>22</v>
      </c>
    </row>
    <row r="2595" spans="1:15" hidden="1">
      <c r="A2595" s="6" t="s">
        <v>15</v>
      </c>
      <c r="B2595" s="6" t="str">
        <f>"FES1162690950"</f>
        <v>FES1162690950</v>
      </c>
      <c r="C2595" s="7">
        <v>43606</v>
      </c>
      <c r="D2595" s="6">
        <v>1</v>
      </c>
      <c r="E2595" s="6">
        <v>2170687694</v>
      </c>
      <c r="F2595" s="6" t="s">
        <v>16</v>
      </c>
      <c r="G2595" s="6" t="s">
        <v>17</v>
      </c>
      <c r="H2595" s="6" t="s">
        <v>43</v>
      </c>
      <c r="I2595" s="6" t="s">
        <v>44</v>
      </c>
      <c r="J2595" s="6" t="s">
        <v>51</v>
      </c>
      <c r="K2595" s="7">
        <v>43607</v>
      </c>
      <c r="L2595" s="8">
        <v>0.34722222222222227</v>
      </c>
      <c r="M2595" s="6" t="s">
        <v>3735</v>
      </c>
      <c r="N2595" s="6" t="s">
        <v>21</v>
      </c>
      <c r="O2595" s="6" t="s">
        <v>22</v>
      </c>
    </row>
    <row r="2596" spans="1:15" hidden="1">
      <c r="A2596" s="6" t="s">
        <v>15</v>
      </c>
      <c r="B2596" s="6" t="str">
        <f>"FES1162690936"</f>
        <v>FES1162690936</v>
      </c>
      <c r="C2596" s="7">
        <v>43606</v>
      </c>
      <c r="D2596" s="6">
        <v>1</v>
      </c>
      <c r="E2596" s="6">
        <v>2170687410</v>
      </c>
      <c r="F2596" s="6" t="s">
        <v>16</v>
      </c>
      <c r="G2596" s="6" t="s">
        <v>17</v>
      </c>
      <c r="H2596" s="6" t="s">
        <v>43</v>
      </c>
      <c r="I2596" s="6" t="s">
        <v>75</v>
      </c>
      <c r="J2596" s="6" t="s">
        <v>222</v>
      </c>
      <c r="K2596" s="7">
        <v>43607</v>
      </c>
      <c r="L2596" s="8">
        <v>0.44027777777777777</v>
      </c>
      <c r="M2596" s="6" t="s">
        <v>88</v>
      </c>
      <c r="N2596" s="6" t="s">
        <v>21</v>
      </c>
      <c r="O2596" s="6" t="s">
        <v>22</v>
      </c>
    </row>
    <row r="2597" spans="1:15" hidden="1">
      <c r="A2597" s="6" t="s">
        <v>15</v>
      </c>
      <c r="B2597" s="6" t="str">
        <f>"FES1162690885"</f>
        <v>FES1162690885</v>
      </c>
      <c r="C2597" s="7">
        <v>43606</v>
      </c>
      <c r="D2597" s="6">
        <v>1</v>
      </c>
      <c r="E2597" s="6">
        <v>2170686750</v>
      </c>
      <c r="F2597" s="6" t="s">
        <v>16</v>
      </c>
      <c r="G2597" s="6" t="s">
        <v>17</v>
      </c>
      <c r="H2597" s="6" t="s">
        <v>43</v>
      </c>
      <c r="I2597" s="6" t="s">
        <v>44</v>
      </c>
      <c r="J2597" s="6" t="s">
        <v>924</v>
      </c>
      <c r="K2597" s="7">
        <v>43607</v>
      </c>
      <c r="L2597" s="8">
        <v>0.43263888888888885</v>
      </c>
      <c r="M2597" s="6" t="s">
        <v>3758</v>
      </c>
      <c r="N2597" s="6" t="s">
        <v>21</v>
      </c>
      <c r="O2597" s="6" t="s">
        <v>22</v>
      </c>
    </row>
    <row r="2598" spans="1:15" hidden="1">
      <c r="A2598" s="6" t="s">
        <v>15</v>
      </c>
      <c r="B2598" s="6" t="str">
        <f>"FES1162690930"</f>
        <v>FES1162690930</v>
      </c>
      <c r="C2598" s="7">
        <v>43606</v>
      </c>
      <c r="D2598" s="6">
        <v>1</v>
      </c>
      <c r="E2598" s="6">
        <v>2170687261</v>
      </c>
      <c r="F2598" s="6" t="s">
        <v>16</v>
      </c>
      <c r="G2598" s="6" t="s">
        <v>17</v>
      </c>
      <c r="H2598" s="6" t="s">
        <v>43</v>
      </c>
      <c r="I2598" s="6" t="s">
        <v>44</v>
      </c>
      <c r="J2598" s="6" t="s">
        <v>945</v>
      </c>
      <c r="K2598" s="7">
        <v>43607</v>
      </c>
      <c r="L2598" s="8">
        <v>0.36736111111111108</v>
      </c>
      <c r="M2598" s="6" t="s">
        <v>946</v>
      </c>
      <c r="N2598" s="6" t="s">
        <v>21</v>
      </c>
      <c r="O2598" s="6" t="s">
        <v>22</v>
      </c>
    </row>
    <row r="2599" spans="1:15" hidden="1">
      <c r="A2599" s="6" t="s">
        <v>15</v>
      </c>
      <c r="B2599" s="6" t="str">
        <f>"FES1162690838"</f>
        <v>FES1162690838</v>
      </c>
      <c r="C2599" s="7">
        <v>43606</v>
      </c>
      <c r="D2599" s="6">
        <v>1</v>
      </c>
      <c r="E2599" s="6">
        <v>2170689299</v>
      </c>
      <c r="F2599" s="6" t="s">
        <v>16</v>
      </c>
      <c r="G2599" s="6" t="s">
        <v>17</v>
      </c>
      <c r="H2599" s="6" t="s">
        <v>43</v>
      </c>
      <c r="I2599" s="6" t="s">
        <v>75</v>
      </c>
      <c r="J2599" s="6" t="s">
        <v>811</v>
      </c>
      <c r="K2599" s="7">
        <v>43607</v>
      </c>
      <c r="L2599" s="8">
        <v>0.46736111111111112</v>
      </c>
      <c r="M2599" s="6" t="s">
        <v>1167</v>
      </c>
      <c r="N2599" s="6" t="s">
        <v>21</v>
      </c>
      <c r="O2599" s="6" t="s">
        <v>22</v>
      </c>
    </row>
    <row r="2600" spans="1:15" hidden="1">
      <c r="A2600" s="6" t="s">
        <v>15</v>
      </c>
      <c r="B2600" s="6" t="str">
        <f>"FES1162690823"</f>
        <v>FES1162690823</v>
      </c>
      <c r="C2600" s="7">
        <v>43606</v>
      </c>
      <c r="D2600" s="6">
        <v>1</v>
      </c>
      <c r="E2600" s="6">
        <v>2170689265</v>
      </c>
      <c r="F2600" s="6" t="s">
        <v>16</v>
      </c>
      <c r="G2600" s="6" t="s">
        <v>17</v>
      </c>
      <c r="H2600" s="6" t="s">
        <v>43</v>
      </c>
      <c r="I2600" s="6" t="s">
        <v>44</v>
      </c>
      <c r="J2600" s="6" t="s">
        <v>393</v>
      </c>
      <c r="K2600" s="7">
        <v>43607</v>
      </c>
      <c r="L2600" s="8">
        <v>0.36736111111111108</v>
      </c>
      <c r="M2600" s="6" t="s">
        <v>394</v>
      </c>
      <c r="N2600" s="6" t="s">
        <v>21</v>
      </c>
      <c r="O2600" s="6" t="s">
        <v>22</v>
      </c>
    </row>
    <row r="2601" spans="1:15" hidden="1">
      <c r="A2601" s="6" t="s">
        <v>15</v>
      </c>
      <c r="B2601" s="6" t="str">
        <f>"FES1162690887"</f>
        <v>FES1162690887</v>
      </c>
      <c r="C2601" s="7">
        <v>43606</v>
      </c>
      <c r="D2601" s="6">
        <v>1</v>
      </c>
      <c r="E2601" s="6">
        <v>2170687261</v>
      </c>
      <c r="F2601" s="6" t="s">
        <v>16</v>
      </c>
      <c r="G2601" s="6" t="s">
        <v>17</v>
      </c>
      <c r="H2601" s="6" t="s">
        <v>43</v>
      </c>
      <c r="I2601" s="6" t="s">
        <v>44</v>
      </c>
      <c r="J2601" s="6" t="s">
        <v>945</v>
      </c>
      <c r="K2601" s="7">
        <v>43607</v>
      </c>
      <c r="L2601" s="8">
        <v>0.36736111111111108</v>
      </c>
      <c r="M2601" s="6" t="s">
        <v>946</v>
      </c>
      <c r="N2601" s="6" t="s">
        <v>21</v>
      </c>
      <c r="O2601" s="6" t="s">
        <v>22</v>
      </c>
    </row>
    <row r="2602" spans="1:15" hidden="1">
      <c r="A2602" s="6" t="s">
        <v>15</v>
      </c>
      <c r="B2602" s="6" t="str">
        <f>"FES1162690809"</f>
        <v>FES1162690809</v>
      </c>
      <c r="C2602" s="7">
        <v>43606</v>
      </c>
      <c r="D2602" s="6">
        <v>1</v>
      </c>
      <c r="E2602" s="6">
        <v>2170688346</v>
      </c>
      <c r="F2602" s="6" t="s">
        <v>16</v>
      </c>
      <c r="G2602" s="6" t="s">
        <v>17</v>
      </c>
      <c r="H2602" s="6" t="s">
        <v>43</v>
      </c>
      <c r="I2602" s="6" t="s">
        <v>75</v>
      </c>
      <c r="J2602" s="6" t="s">
        <v>76</v>
      </c>
      <c r="K2602" s="7">
        <v>43607</v>
      </c>
      <c r="L2602" s="8">
        <v>0.47291666666666665</v>
      </c>
      <c r="M2602" s="6" t="s">
        <v>663</v>
      </c>
      <c r="N2602" s="6" t="s">
        <v>21</v>
      </c>
      <c r="O2602" s="6" t="s">
        <v>22</v>
      </c>
    </row>
    <row r="2603" spans="1:15" hidden="1">
      <c r="A2603" s="6" t="s">
        <v>15</v>
      </c>
      <c r="B2603" s="6" t="str">
        <f>"FES1162690844"</f>
        <v>FES1162690844</v>
      </c>
      <c r="C2603" s="7">
        <v>43606</v>
      </c>
      <c r="D2603" s="6">
        <v>1</v>
      </c>
      <c r="E2603" s="6">
        <v>2170689306</v>
      </c>
      <c r="F2603" s="6" t="s">
        <v>16</v>
      </c>
      <c r="G2603" s="6" t="s">
        <v>17</v>
      </c>
      <c r="H2603" s="6" t="s">
        <v>43</v>
      </c>
      <c r="I2603" s="6" t="s">
        <v>44</v>
      </c>
      <c r="J2603" s="6" t="s">
        <v>236</v>
      </c>
      <c r="K2603" s="7">
        <v>43607</v>
      </c>
      <c r="L2603" s="8">
        <v>0.41666666666666669</v>
      </c>
      <c r="M2603" s="6" t="s">
        <v>3759</v>
      </c>
      <c r="N2603" s="6" t="s">
        <v>21</v>
      </c>
      <c r="O2603" s="6" t="s">
        <v>22</v>
      </c>
    </row>
    <row r="2604" spans="1:15">
      <c r="A2604" s="6" t="s">
        <v>15</v>
      </c>
      <c r="B2604" s="6" t="str">
        <f>"FES1162690567"</f>
        <v>FES1162690567</v>
      </c>
      <c r="C2604" s="7">
        <v>43606</v>
      </c>
      <c r="D2604" s="6">
        <v>1</v>
      </c>
      <c r="E2604" s="6">
        <v>2170689041</v>
      </c>
      <c r="F2604" s="6" t="s">
        <v>16</v>
      </c>
      <c r="G2604" s="6" t="s">
        <v>17</v>
      </c>
      <c r="H2604" s="6" t="s">
        <v>17</v>
      </c>
      <c r="I2604" s="6" t="s">
        <v>67</v>
      </c>
      <c r="J2604" s="6" t="s">
        <v>1621</v>
      </c>
      <c r="K2604" s="7">
        <v>43607</v>
      </c>
      <c r="L2604" s="8">
        <v>0.3611111111111111</v>
      </c>
      <c r="M2604" s="6" t="s">
        <v>1622</v>
      </c>
      <c r="N2604" s="6" t="s">
        <v>21</v>
      </c>
      <c r="O2604" s="6" t="s">
        <v>22</v>
      </c>
    </row>
    <row r="2605" spans="1:15" hidden="1">
      <c r="A2605" s="6" t="s">
        <v>15</v>
      </c>
      <c r="B2605" s="6" t="str">
        <f>"FES1162690858"</f>
        <v>FES1162690858</v>
      </c>
      <c r="C2605" s="7">
        <v>43606</v>
      </c>
      <c r="D2605" s="6">
        <v>1</v>
      </c>
      <c r="E2605" s="6">
        <v>2170689306</v>
      </c>
      <c r="F2605" s="6" t="s">
        <v>16</v>
      </c>
      <c r="G2605" s="6" t="s">
        <v>17</v>
      </c>
      <c r="H2605" s="6" t="s">
        <v>32</v>
      </c>
      <c r="I2605" s="6" t="s">
        <v>269</v>
      </c>
      <c r="J2605" s="6" t="s">
        <v>1568</v>
      </c>
      <c r="K2605" s="7">
        <v>43607</v>
      </c>
      <c r="L2605" s="8">
        <v>0.34375</v>
      </c>
      <c r="M2605" s="6" t="s">
        <v>1569</v>
      </c>
      <c r="N2605" s="6" t="s">
        <v>21</v>
      </c>
      <c r="O2605" s="6" t="s">
        <v>22</v>
      </c>
    </row>
    <row r="2606" spans="1:15" hidden="1">
      <c r="A2606" s="6" t="s">
        <v>15</v>
      </c>
      <c r="B2606" s="6" t="str">
        <f>"FES1162690893"</f>
        <v>FES1162690893</v>
      </c>
      <c r="C2606" s="7">
        <v>43606</v>
      </c>
      <c r="D2606" s="6">
        <v>1</v>
      </c>
      <c r="E2606" s="6">
        <v>2170687758</v>
      </c>
      <c r="F2606" s="6" t="s">
        <v>16</v>
      </c>
      <c r="G2606" s="6" t="s">
        <v>17</v>
      </c>
      <c r="H2606" s="6" t="s">
        <v>32</v>
      </c>
      <c r="I2606" s="6" t="s">
        <v>269</v>
      </c>
      <c r="J2606" s="6" t="s">
        <v>270</v>
      </c>
      <c r="K2606" s="7">
        <v>43607</v>
      </c>
      <c r="L2606" s="8">
        <v>0.34027777777777773</v>
      </c>
      <c r="M2606" s="6" t="s">
        <v>271</v>
      </c>
      <c r="N2606" s="6" t="s">
        <v>21</v>
      </c>
      <c r="O2606" s="6" t="s">
        <v>22</v>
      </c>
    </row>
    <row r="2607" spans="1:15">
      <c r="A2607" s="6" t="s">
        <v>15</v>
      </c>
      <c r="B2607" s="6" t="str">
        <f>"FES1162690566"</f>
        <v>FES1162690566</v>
      </c>
      <c r="C2607" s="7">
        <v>43606</v>
      </c>
      <c r="D2607" s="6">
        <v>1</v>
      </c>
      <c r="E2607" s="6">
        <v>2170689039</v>
      </c>
      <c r="F2607" s="6" t="s">
        <v>16</v>
      </c>
      <c r="G2607" s="6" t="s">
        <v>17</v>
      </c>
      <c r="H2607" s="6" t="s">
        <v>17</v>
      </c>
      <c r="I2607" s="6" t="s">
        <v>67</v>
      </c>
      <c r="J2607" s="6" t="s">
        <v>1621</v>
      </c>
      <c r="K2607" s="7">
        <v>43607</v>
      </c>
      <c r="L2607" s="8">
        <v>0.36180555555555555</v>
      </c>
      <c r="M2607" s="6" t="s">
        <v>1622</v>
      </c>
      <c r="N2607" s="6" t="s">
        <v>21</v>
      </c>
      <c r="O2607" s="6" t="s">
        <v>22</v>
      </c>
    </row>
    <row r="2608" spans="1:15" hidden="1">
      <c r="A2608" s="6" t="s">
        <v>15</v>
      </c>
      <c r="B2608" s="6" t="str">
        <f>"FES1162690961"</f>
        <v>FES1162690961</v>
      </c>
      <c r="C2608" s="7">
        <v>43606</v>
      </c>
      <c r="D2608" s="6">
        <v>1</v>
      </c>
      <c r="E2608" s="6">
        <v>2170689375</v>
      </c>
      <c r="F2608" s="6" t="s">
        <v>16</v>
      </c>
      <c r="G2608" s="6" t="s">
        <v>17</v>
      </c>
      <c r="H2608" s="6" t="s">
        <v>32</v>
      </c>
      <c r="I2608" s="6" t="s">
        <v>33</v>
      </c>
      <c r="J2608" s="6" t="s">
        <v>365</v>
      </c>
      <c r="K2608" s="7">
        <v>43607</v>
      </c>
      <c r="L2608" s="8">
        <v>0.38541666666666669</v>
      </c>
      <c r="M2608" s="6" t="s">
        <v>3574</v>
      </c>
      <c r="N2608" s="6" t="s">
        <v>21</v>
      </c>
      <c r="O2608" s="6" t="s">
        <v>22</v>
      </c>
    </row>
    <row r="2609" spans="1:15" hidden="1">
      <c r="A2609" s="6" t="s">
        <v>15</v>
      </c>
      <c r="B2609" s="6" t="str">
        <f>"FES1162690782"</f>
        <v>FES1162690782</v>
      </c>
      <c r="C2609" s="7">
        <v>43606</v>
      </c>
      <c r="D2609" s="6">
        <v>1</v>
      </c>
      <c r="E2609" s="6">
        <v>2170689260</v>
      </c>
      <c r="F2609" s="6" t="s">
        <v>16</v>
      </c>
      <c r="G2609" s="6" t="s">
        <v>17</v>
      </c>
      <c r="H2609" s="6" t="s">
        <v>37</v>
      </c>
      <c r="I2609" s="6" t="s">
        <v>38</v>
      </c>
      <c r="J2609" s="6" t="s">
        <v>559</v>
      </c>
      <c r="K2609" s="7">
        <v>43607</v>
      </c>
      <c r="L2609" s="8">
        <v>0.41666666666666669</v>
      </c>
      <c r="M2609" s="6" t="s">
        <v>2100</v>
      </c>
      <c r="N2609" s="6" t="s">
        <v>21</v>
      </c>
      <c r="O2609" s="6" t="s">
        <v>22</v>
      </c>
    </row>
    <row r="2610" spans="1:15" hidden="1">
      <c r="A2610" s="6" t="s">
        <v>15</v>
      </c>
      <c r="B2610" s="6" t="str">
        <f>"FES1162690935"</f>
        <v>FES1162690935</v>
      </c>
      <c r="C2610" s="7">
        <v>43606</v>
      </c>
      <c r="D2610" s="6">
        <v>1</v>
      </c>
      <c r="E2610" s="6">
        <v>2170687397</v>
      </c>
      <c r="F2610" s="6" t="s">
        <v>16</v>
      </c>
      <c r="G2610" s="6" t="s">
        <v>17</v>
      </c>
      <c r="H2610" s="6" t="s">
        <v>37</v>
      </c>
      <c r="I2610" s="6" t="s">
        <v>38</v>
      </c>
      <c r="J2610" s="6" t="s">
        <v>535</v>
      </c>
      <c r="K2610" s="7">
        <v>43607</v>
      </c>
      <c r="L2610" s="8">
        <v>0.38194444444444442</v>
      </c>
      <c r="M2610" s="6" t="s">
        <v>3760</v>
      </c>
      <c r="N2610" s="6" t="s">
        <v>21</v>
      </c>
      <c r="O2610" s="6" t="s">
        <v>22</v>
      </c>
    </row>
    <row r="2611" spans="1:15" hidden="1">
      <c r="A2611" s="6" t="s">
        <v>15</v>
      </c>
      <c r="B2611" s="6" t="str">
        <f>"FES1162690801"</f>
        <v>FES1162690801</v>
      </c>
      <c r="C2611" s="7">
        <v>43606</v>
      </c>
      <c r="D2611" s="6">
        <v>1</v>
      </c>
      <c r="E2611" s="6">
        <v>2170687676</v>
      </c>
      <c r="F2611" s="6" t="s">
        <v>16</v>
      </c>
      <c r="G2611" s="6" t="s">
        <v>17</v>
      </c>
      <c r="H2611" s="6" t="s">
        <v>32</v>
      </c>
      <c r="I2611" s="6" t="s">
        <v>33</v>
      </c>
      <c r="J2611" s="6" t="s">
        <v>3761</v>
      </c>
      <c r="K2611" s="7">
        <v>43607</v>
      </c>
      <c r="L2611" s="8">
        <v>0.39930555555555558</v>
      </c>
      <c r="M2611" s="6" t="s">
        <v>3762</v>
      </c>
      <c r="N2611" s="6" t="s">
        <v>21</v>
      </c>
      <c r="O2611" s="6" t="s">
        <v>22</v>
      </c>
    </row>
    <row r="2612" spans="1:15" hidden="1">
      <c r="A2612" s="6" t="s">
        <v>15</v>
      </c>
      <c r="B2612" s="6" t="str">
        <f>"FES1162690821"</f>
        <v>FES1162690821</v>
      </c>
      <c r="C2612" s="7">
        <v>43606</v>
      </c>
      <c r="D2612" s="6">
        <v>1</v>
      </c>
      <c r="E2612" s="6">
        <v>2172689190</v>
      </c>
      <c r="F2612" s="6" t="s">
        <v>16</v>
      </c>
      <c r="G2612" s="6" t="s">
        <v>17</v>
      </c>
      <c r="H2612" s="6" t="s">
        <v>32</v>
      </c>
      <c r="I2612" s="6" t="s">
        <v>33</v>
      </c>
      <c r="J2612" s="6" t="s">
        <v>284</v>
      </c>
      <c r="K2612" s="7">
        <v>43607</v>
      </c>
      <c r="L2612" s="8">
        <v>0.4375</v>
      </c>
      <c r="M2612" s="6" t="s">
        <v>1840</v>
      </c>
      <c r="N2612" s="6" t="s">
        <v>21</v>
      </c>
      <c r="O2612" s="6" t="s">
        <v>22</v>
      </c>
    </row>
    <row r="2613" spans="1:15" hidden="1">
      <c r="A2613" s="6" t="s">
        <v>15</v>
      </c>
      <c r="B2613" s="6" t="str">
        <f>"FES1162690960"</f>
        <v>FES1162690960</v>
      </c>
      <c r="C2613" s="7">
        <v>43606</v>
      </c>
      <c r="D2613" s="6">
        <v>1</v>
      </c>
      <c r="E2613" s="6">
        <v>2170689374</v>
      </c>
      <c r="F2613" s="6" t="s">
        <v>16</v>
      </c>
      <c r="G2613" s="6" t="s">
        <v>17</v>
      </c>
      <c r="H2613" s="6" t="s">
        <v>32</v>
      </c>
      <c r="I2613" s="6" t="s">
        <v>33</v>
      </c>
      <c r="J2613" s="6" t="s">
        <v>365</v>
      </c>
      <c r="K2613" s="7">
        <v>43607</v>
      </c>
      <c r="L2613" s="8">
        <v>0.38541666666666669</v>
      </c>
      <c r="M2613" s="6" t="s">
        <v>3574</v>
      </c>
      <c r="N2613" s="6" t="s">
        <v>21</v>
      </c>
      <c r="O2613" s="6" t="s">
        <v>22</v>
      </c>
    </row>
    <row r="2614" spans="1:15" hidden="1">
      <c r="A2614" s="17" t="s">
        <v>15</v>
      </c>
      <c r="B2614" s="17" t="str">
        <f>"FES1162690946"</f>
        <v>FES1162690946</v>
      </c>
      <c r="C2614" s="18">
        <v>43606</v>
      </c>
      <c r="D2614" s="17">
        <v>1</v>
      </c>
      <c r="E2614" s="17">
        <v>2170687576</v>
      </c>
      <c r="F2614" s="17" t="s">
        <v>16</v>
      </c>
      <c r="G2614" s="17" t="s">
        <v>17</v>
      </c>
      <c r="H2614" s="17" t="s">
        <v>43</v>
      </c>
      <c r="I2614" s="17" t="s">
        <v>44</v>
      </c>
      <c r="J2614" s="17" t="s">
        <v>3763</v>
      </c>
      <c r="K2614" s="18">
        <v>43607</v>
      </c>
      <c r="L2614" s="19">
        <v>0.38541666666666669</v>
      </c>
      <c r="M2614" s="17" t="s">
        <v>3764</v>
      </c>
      <c r="N2614" s="17" t="s">
        <v>21</v>
      </c>
      <c r="O2614" s="17" t="s">
        <v>22</v>
      </c>
    </row>
    <row r="2615" spans="1:15" hidden="1">
      <c r="A2615" s="6" t="s">
        <v>15</v>
      </c>
      <c r="B2615" s="6" t="str">
        <f>"FES1162690855"</f>
        <v>FES1162690855</v>
      </c>
      <c r="C2615" s="7">
        <v>43606</v>
      </c>
      <c r="D2615" s="6">
        <v>1</v>
      </c>
      <c r="E2615" s="6">
        <v>2170689155</v>
      </c>
      <c r="F2615" s="6" t="s">
        <v>16</v>
      </c>
      <c r="G2615" s="6" t="s">
        <v>17</v>
      </c>
      <c r="H2615" s="6" t="s">
        <v>43</v>
      </c>
      <c r="I2615" s="6" t="s">
        <v>44</v>
      </c>
      <c r="J2615" s="6" t="s">
        <v>45</v>
      </c>
      <c r="K2615" s="7">
        <v>43607</v>
      </c>
      <c r="L2615" s="8">
        <v>0.30486111111111108</v>
      </c>
      <c r="M2615" s="6" t="s">
        <v>3765</v>
      </c>
      <c r="N2615" s="6" t="s">
        <v>21</v>
      </c>
      <c r="O2615" s="6" t="s">
        <v>22</v>
      </c>
    </row>
    <row r="2616" spans="1:15" hidden="1">
      <c r="A2616" s="6" t="s">
        <v>15</v>
      </c>
      <c r="B2616" s="6" t="str">
        <f>"FES1162690925"</f>
        <v>FES1162690925</v>
      </c>
      <c r="C2616" s="7">
        <v>43606</v>
      </c>
      <c r="D2616" s="6">
        <v>1</v>
      </c>
      <c r="E2616" s="6">
        <v>2170687104</v>
      </c>
      <c r="F2616" s="6" t="s">
        <v>16</v>
      </c>
      <c r="G2616" s="6" t="s">
        <v>17</v>
      </c>
      <c r="H2616" s="6" t="s">
        <v>43</v>
      </c>
      <c r="I2616" s="6" t="s">
        <v>75</v>
      </c>
      <c r="J2616" s="6" t="s">
        <v>811</v>
      </c>
      <c r="K2616" s="7">
        <v>43607</v>
      </c>
      <c r="L2616" s="8">
        <v>0.46736111111111112</v>
      </c>
      <c r="M2616" s="6" t="s">
        <v>1167</v>
      </c>
      <c r="N2616" s="6" t="s">
        <v>21</v>
      </c>
      <c r="O2616" s="6" t="s">
        <v>22</v>
      </c>
    </row>
    <row r="2617" spans="1:15" hidden="1">
      <c r="A2617" s="6" t="s">
        <v>15</v>
      </c>
      <c r="B2617" s="6" t="str">
        <f>"FES1162690834"</f>
        <v>FES1162690834</v>
      </c>
      <c r="C2617" s="7">
        <v>43606</v>
      </c>
      <c r="D2617" s="6">
        <v>1</v>
      </c>
      <c r="E2617" s="6">
        <v>2170689292</v>
      </c>
      <c r="F2617" s="6" t="s">
        <v>16</v>
      </c>
      <c r="G2617" s="6" t="s">
        <v>17</v>
      </c>
      <c r="H2617" s="6" t="s">
        <v>43</v>
      </c>
      <c r="I2617" s="6" t="s">
        <v>75</v>
      </c>
      <c r="J2617" s="6" t="s">
        <v>811</v>
      </c>
      <c r="K2617" s="7">
        <v>43607</v>
      </c>
      <c r="L2617" s="8">
        <v>0.46736111111111112</v>
      </c>
      <c r="M2617" s="6" t="s">
        <v>1167</v>
      </c>
      <c r="N2617" s="6" t="s">
        <v>21</v>
      </c>
      <c r="O2617" s="6" t="s">
        <v>22</v>
      </c>
    </row>
    <row r="2618" spans="1:15" hidden="1">
      <c r="A2618" s="6" t="s">
        <v>15</v>
      </c>
      <c r="B2618" s="6" t="str">
        <f>"FES1162690877"</f>
        <v>FES1162690877</v>
      </c>
      <c r="C2618" s="7">
        <v>43606</v>
      </c>
      <c r="D2618" s="6">
        <v>1</v>
      </c>
      <c r="E2618" s="6">
        <v>2170689353</v>
      </c>
      <c r="F2618" s="6" t="s">
        <v>16</v>
      </c>
      <c r="G2618" s="6" t="s">
        <v>17</v>
      </c>
      <c r="H2618" s="6" t="s">
        <v>43</v>
      </c>
      <c r="I2618" s="6" t="s">
        <v>44</v>
      </c>
      <c r="J2618" s="6" t="s">
        <v>51</v>
      </c>
      <c r="K2618" s="7">
        <v>43607</v>
      </c>
      <c r="L2618" s="8">
        <v>0.34583333333333338</v>
      </c>
      <c r="M2618" s="6" t="s">
        <v>3735</v>
      </c>
      <c r="N2618" s="6" t="s">
        <v>21</v>
      </c>
      <c r="O2618" s="6" t="s">
        <v>22</v>
      </c>
    </row>
    <row r="2619" spans="1:15" hidden="1">
      <c r="A2619" s="6" t="s">
        <v>15</v>
      </c>
      <c r="B2619" s="6" t="str">
        <f>"FES1162690794"</f>
        <v>FES1162690794</v>
      </c>
      <c r="C2619" s="7">
        <v>43606</v>
      </c>
      <c r="D2619" s="6">
        <v>1</v>
      </c>
      <c r="E2619" s="6">
        <v>2172685625</v>
      </c>
      <c r="F2619" s="6" t="s">
        <v>16</v>
      </c>
      <c r="G2619" s="6" t="s">
        <v>17</v>
      </c>
      <c r="H2619" s="6" t="s">
        <v>43</v>
      </c>
      <c r="I2619" s="6" t="s">
        <v>54</v>
      </c>
      <c r="J2619" s="6" t="s">
        <v>216</v>
      </c>
      <c r="K2619" s="7">
        <v>43607</v>
      </c>
      <c r="L2619" s="8">
        <v>0.41666666666666669</v>
      </c>
      <c r="M2619" s="6" t="s">
        <v>1443</v>
      </c>
      <c r="N2619" s="6" t="s">
        <v>21</v>
      </c>
      <c r="O2619" s="6" t="s">
        <v>22</v>
      </c>
    </row>
    <row r="2620" spans="1:15" hidden="1">
      <c r="A2620" s="6" t="s">
        <v>15</v>
      </c>
      <c r="B2620" s="6" t="str">
        <f>"FES1162690813"</f>
        <v>FES1162690813</v>
      </c>
      <c r="C2620" s="7">
        <v>43606</v>
      </c>
      <c r="D2620" s="6">
        <v>1</v>
      </c>
      <c r="E2620" s="6">
        <v>2170688856</v>
      </c>
      <c r="F2620" s="6" t="s">
        <v>16</v>
      </c>
      <c r="G2620" s="6" t="s">
        <v>17</v>
      </c>
      <c r="H2620" s="6" t="s">
        <v>43</v>
      </c>
      <c r="I2620" s="6" t="s">
        <v>807</v>
      </c>
      <c r="J2620" s="6" t="s">
        <v>808</v>
      </c>
      <c r="K2620" s="7">
        <v>43607</v>
      </c>
      <c r="L2620" s="8">
        <v>0.50972222222222219</v>
      </c>
      <c r="M2620" s="6" t="s">
        <v>3766</v>
      </c>
      <c r="N2620" s="6" t="s">
        <v>21</v>
      </c>
      <c r="O2620" s="6" t="s">
        <v>22</v>
      </c>
    </row>
    <row r="2621" spans="1:15" hidden="1">
      <c r="A2621" s="6" t="s">
        <v>15</v>
      </c>
      <c r="B2621" s="6" t="str">
        <f>"FES1162690954"</f>
        <v>FES1162690954</v>
      </c>
      <c r="C2621" s="7">
        <v>43606</v>
      </c>
      <c r="D2621" s="6">
        <v>1</v>
      </c>
      <c r="E2621" s="6">
        <v>2170689365</v>
      </c>
      <c r="F2621" s="6" t="s">
        <v>16</v>
      </c>
      <c r="G2621" s="6" t="s">
        <v>17</v>
      </c>
      <c r="H2621" s="6" t="s">
        <v>43</v>
      </c>
      <c r="I2621" s="6" t="s">
        <v>44</v>
      </c>
      <c r="J2621" s="6" t="s">
        <v>733</v>
      </c>
      <c r="K2621" s="7">
        <v>43607</v>
      </c>
      <c r="L2621" s="8">
        <v>0.47500000000000003</v>
      </c>
      <c r="M2621" s="6" t="s">
        <v>734</v>
      </c>
      <c r="N2621" s="6" t="s">
        <v>21</v>
      </c>
      <c r="O2621" s="6" t="s">
        <v>22</v>
      </c>
    </row>
    <row r="2622" spans="1:15" hidden="1">
      <c r="A2622" s="6" t="s">
        <v>15</v>
      </c>
      <c r="B2622" s="6" t="str">
        <f>"FES1162690793"</f>
        <v>FES1162690793</v>
      </c>
      <c r="C2622" s="7">
        <v>43606</v>
      </c>
      <c r="D2622" s="6">
        <v>1</v>
      </c>
      <c r="E2622" s="6">
        <v>2170682852</v>
      </c>
      <c r="F2622" s="6" t="s">
        <v>16</v>
      </c>
      <c r="G2622" s="6" t="s">
        <v>17</v>
      </c>
      <c r="H2622" s="6" t="s">
        <v>43</v>
      </c>
      <c r="I2622" s="6" t="s">
        <v>44</v>
      </c>
      <c r="J2622" s="6" t="s">
        <v>1591</v>
      </c>
      <c r="K2622" s="7">
        <v>43607</v>
      </c>
      <c r="L2622" s="8">
        <v>0.41944444444444445</v>
      </c>
      <c r="M2622" s="6" t="s">
        <v>1880</v>
      </c>
      <c r="N2622" s="6" t="s">
        <v>21</v>
      </c>
      <c r="O2622" s="6" t="s">
        <v>22</v>
      </c>
    </row>
    <row r="2623" spans="1:15" hidden="1">
      <c r="A2623" s="6" t="s">
        <v>15</v>
      </c>
      <c r="B2623" s="6" t="str">
        <f>"FES1162690812"</f>
        <v>FES1162690812</v>
      </c>
      <c r="C2623" s="7">
        <v>43606</v>
      </c>
      <c r="D2623" s="6">
        <v>1</v>
      </c>
      <c r="E2623" s="6">
        <v>2170688616</v>
      </c>
      <c r="F2623" s="6" t="s">
        <v>16</v>
      </c>
      <c r="G2623" s="6" t="s">
        <v>17</v>
      </c>
      <c r="H2623" s="6" t="s">
        <v>43</v>
      </c>
      <c r="I2623" s="6" t="s">
        <v>44</v>
      </c>
      <c r="J2623" s="6" t="s">
        <v>860</v>
      </c>
      <c r="K2623" s="7">
        <v>43607</v>
      </c>
      <c r="L2623" s="8">
        <v>0.34513888888888888</v>
      </c>
      <c r="M2623" s="6" t="s">
        <v>3767</v>
      </c>
      <c r="N2623" s="6" t="s">
        <v>21</v>
      </c>
      <c r="O2623" s="6" t="s">
        <v>22</v>
      </c>
    </row>
    <row r="2624" spans="1:15" hidden="1">
      <c r="A2624" s="6" t="s">
        <v>15</v>
      </c>
      <c r="B2624" s="6" t="str">
        <f>"FES1162690875"</f>
        <v>FES1162690875</v>
      </c>
      <c r="C2624" s="7">
        <v>43606</v>
      </c>
      <c r="D2624" s="6">
        <v>1</v>
      </c>
      <c r="E2624" s="6">
        <v>2170689351</v>
      </c>
      <c r="F2624" s="6" t="s">
        <v>16</v>
      </c>
      <c r="G2624" s="6" t="s">
        <v>17</v>
      </c>
      <c r="H2624" s="6" t="s">
        <v>43</v>
      </c>
      <c r="I2624" s="6" t="s">
        <v>75</v>
      </c>
      <c r="J2624" s="6" t="s">
        <v>811</v>
      </c>
      <c r="K2624" s="7">
        <v>43607</v>
      </c>
      <c r="L2624" s="8">
        <v>0.46736111111111112</v>
      </c>
      <c r="M2624" s="6" t="s">
        <v>1167</v>
      </c>
      <c r="N2624" s="6" t="s">
        <v>21</v>
      </c>
      <c r="O2624" s="6" t="s">
        <v>22</v>
      </c>
    </row>
    <row r="2625" spans="1:15" hidden="1">
      <c r="A2625" s="6" t="s">
        <v>15</v>
      </c>
      <c r="B2625" s="6" t="str">
        <f>"FES1162690817"</f>
        <v>FES1162690817</v>
      </c>
      <c r="C2625" s="7">
        <v>43606</v>
      </c>
      <c r="D2625" s="6">
        <v>1</v>
      </c>
      <c r="E2625" s="6">
        <v>2170689030</v>
      </c>
      <c r="F2625" s="6" t="s">
        <v>16</v>
      </c>
      <c r="G2625" s="6" t="s">
        <v>17</v>
      </c>
      <c r="H2625" s="6" t="s">
        <v>141</v>
      </c>
      <c r="I2625" s="6" t="s">
        <v>142</v>
      </c>
      <c r="J2625" s="6" t="s">
        <v>2719</v>
      </c>
      <c r="K2625" s="7">
        <v>43607</v>
      </c>
      <c r="L2625" s="8">
        <v>0.36249999999999999</v>
      </c>
      <c r="M2625" s="6" t="s">
        <v>2720</v>
      </c>
      <c r="N2625" s="6" t="s">
        <v>21</v>
      </c>
      <c r="O2625" s="6" t="s">
        <v>22</v>
      </c>
    </row>
    <row r="2626" spans="1:15" hidden="1">
      <c r="A2626" s="6" t="s">
        <v>15</v>
      </c>
      <c r="B2626" s="6" t="str">
        <f>"FES1162690839"</f>
        <v>FES1162690839</v>
      </c>
      <c r="C2626" s="7">
        <v>43606</v>
      </c>
      <c r="D2626" s="6">
        <v>1</v>
      </c>
      <c r="E2626" s="6">
        <v>2170689301</v>
      </c>
      <c r="F2626" s="6" t="s">
        <v>16</v>
      </c>
      <c r="G2626" s="6" t="s">
        <v>17</v>
      </c>
      <c r="H2626" s="6" t="s">
        <v>322</v>
      </c>
      <c r="I2626" s="6" t="s">
        <v>618</v>
      </c>
      <c r="J2626" s="6" t="s">
        <v>619</v>
      </c>
      <c r="K2626" s="7">
        <v>43607</v>
      </c>
      <c r="L2626" s="8">
        <v>0.43055555555555558</v>
      </c>
      <c r="M2626" s="6" t="s">
        <v>620</v>
      </c>
      <c r="N2626" s="6" t="s">
        <v>21</v>
      </c>
      <c r="O2626" s="6" t="s">
        <v>22</v>
      </c>
    </row>
    <row r="2627" spans="1:15" hidden="1">
      <c r="A2627" s="6" t="s">
        <v>15</v>
      </c>
      <c r="B2627" s="6" t="str">
        <f>"FES1162690832"</f>
        <v>FES1162690832</v>
      </c>
      <c r="C2627" s="7">
        <v>43606</v>
      </c>
      <c r="D2627" s="6">
        <v>1</v>
      </c>
      <c r="E2627" s="6">
        <v>2170689290</v>
      </c>
      <c r="F2627" s="6" t="s">
        <v>16</v>
      </c>
      <c r="G2627" s="6" t="s">
        <v>17</v>
      </c>
      <c r="H2627" s="6" t="s">
        <v>141</v>
      </c>
      <c r="I2627" s="6" t="s">
        <v>142</v>
      </c>
      <c r="J2627" s="6" t="s">
        <v>864</v>
      </c>
      <c r="K2627" s="7">
        <v>43607</v>
      </c>
      <c r="L2627" s="8">
        <v>0.32916666666666666</v>
      </c>
      <c r="M2627" s="6" t="s">
        <v>3234</v>
      </c>
      <c r="N2627" s="6" t="s">
        <v>21</v>
      </c>
      <c r="O2627" s="6" t="s">
        <v>22</v>
      </c>
    </row>
    <row r="2628" spans="1:15" hidden="1">
      <c r="A2628" s="6" t="s">
        <v>15</v>
      </c>
      <c r="B2628" s="6" t="str">
        <f>"FES1162690849"</f>
        <v>FES1162690849</v>
      </c>
      <c r="C2628" s="7">
        <v>43606</v>
      </c>
      <c r="D2628" s="6">
        <v>1</v>
      </c>
      <c r="E2628" s="6">
        <v>2170689312</v>
      </c>
      <c r="F2628" s="6" t="s">
        <v>16</v>
      </c>
      <c r="G2628" s="6" t="s">
        <v>17</v>
      </c>
      <c r="H2628" s="6" t="s">
        <v>141</v>
      </c>
      <c r="I2628" s="6" t="s">
        <v>185</v>
      </c>
      <c r="J2628" s="6" t="s">
        <v>1250</v>
      </c>
      <c r="K2628" s="7">
        <v>43607</v>
      </c>
      <c r="L2628" s="8">
        <v>0.4055555555555555</v>
      </c>
      <c r="M2628" s="6" t="s">
        <v>3742</v>
      </c>
      <c r="N2628" s="6" t="s">
        <v>21</v>
      </c>
      <c r="O2628" s="6" t="s">
        <v>22</v>
      </c>
    </row>
    <row r="2629" spans="1:15" hidden="1">
      <c r="A2629" s="6" t="s">
        <v>15</v>
      </c>
      <c r="B2629" s="6" t="str">
        <f>"FES1162690797"</f>
        <v>FES1162690797</v>
      </c>
      <c r="C2629" s="7">
        <v>43606</v>
      </c>
      <c r="D2629" s="6">
        <v>1</v>
      </c>
      <c r="E2629" s="6">
        <v>2170686491</v>
      </c>
      <c r="F2629" s="6" t="s">
        <v>16</v>
      </c>
      <c r="G2629" s="6" t="s">
        <v>17</v>
      </c>
      <c r="H2629" s="6" t="s">
        <v>141</v>
      </c>
      <c r="I2629" s="6" t="s">
        <v>448</v>
      </c>
      <c r="J2629" s="6" t="s">
        <v>449</v>
      </c>
      <c r="K2629" s="7">
        <v>43607</v>
      </c>
      <c r="L2629" s="8">
        <v>0.36944444444444446</v>
      </c>
      <c r="M2629" s="6" t="s">
        <v>1182</v>
      </c>
      <c r="N2629" s="6" t="s">
        <v>21</v>
      </c>
      <c r="O2629" s="6" t="s">
        <v>22</v>
      </c>
    </row>
    <row r="2630" spans="1:15" hidden="1">
      <c r="A2630" s="6" t="s">
        <v>15</v>
      </c>
      <c r="B2630" s="6" t="str">
        <f>"FES1162690856"</f>
        <v>FES1162690856</v>
      </c>
      <c r="C2630" s="7">
        <v>43606</v>
      </c>
      <c r="D2630" s="6">
        <v>1</v>
      </c>
      <c r="E2630" s="6">
        <v>2170689322</v>
      </c>
      <c r="F2630" s="6" t="s">
        <v>16</v>
      </c>
      <c r="G2630" s="6" t="s">
        <v>17</v>
      </c>
      <c r="H2630" s="6" t="s">
        <v>132</v>
      </c>
      <c r="I2630" s="6" t="s">
        <v>133</v>
      </c>
      <c r="J2630" s="6" t="s">
        <v>1008</v>
      </c>
      <c r="K2630" s="7">
        <v>43607</v>
      </c>
      <c r="L2630" s="8">
        <v>0.38541666666666669</v>
      </c>
      <c r="M2630" s="6" t="s">
        <v>3768</v>
      </c>
      <c r="N2630" s="6" t="s">
        <v>21</v>
      </c>
      <c r="O2630" s="6" t="s">
        <v>22</v>
      </c>
    </row>
    <row r="2631" spans="1:15" hidden="1">
      <c r="A2631" s="6" t="s">
        <v>15</v>
      </c>
      <c r="B2631" s="6" t="str">
        <f>"FES1162690881"</f>
        <v>FES1162690881</v>
      </c>
      <c r="C2631" s="7">
        <v>43606</v>
      </c>
      <c r="D2631" s="6">
        <v>1</v>
      </c>
      <c r="E2631" s="6">
        <v>2170689358</v>
      </c>
      <c r="F2631" s="6" t="s">
        <v>16</v>
      </c>
      <c r="G2631" s="6" t="s">
        <v>17</v>
      </c>
      <c r="H2631" s="6" t="s">
        <v>43</v>
      </c>
      <c r="I2631" s="6" t="s">
        <v>44</v>
      </c>
      <c r="J2631" s="6" t="s">
        <v>51</v>
      </c>
      <c r="K2631" s="7">
        <v>43607</v>
      </c>
      <c r="L2631" s="8">
        <v>0.34791666666666665</v>
      </c>
      <c r="M2631" s="6" t="s">
        <v>3735</v>
      </c>
      <c r="N2631" s="6" t="s">
        <v>21</v>
      </c>
      <c r="O2631" s="6" t="s">
        <v>22</v>
      </c>
    </row>
    <row r="2632" spans="1:15" hidden="1">
      <c r="A2632" s="6" t="s">
        <v>15</v>
      </c>
      <c r="B2632" s="6" t="str">
        <f>"FES1162690872"</f>
        <v>FES1162690872</v>
      </c>
      <c r="C2632" s="7">
        <v>43606</v>
      </c>
      <c r="D2632" s="6">
        <v>1</v>
      </c>
      <c r="E2632" s="6">
        <v>2170689348</v>
      </c>
      <c r="F2632" s="6" t="s">
        <v>16</v>
      </c>
      <c r="G2632" s="6" t="s">
        <v>17</v>
      </c>
      <c r="H2632" s="6" t="s">
        <v>43</v>
      </c>
      <c r="I2632" s="6" t="s">
        <v>44</v>
      </c>
      <c r="J2632" s="6" t="s">
        <v>751</v>
      </c>
      <c r="K2632" s="7">
        <v>43607</v>
      </c>
      <c r="L2632" s="8">
        <v>0.39652777777777781</v>
      </c>
      <c r="M2632" s="6" t="s">
        <v>3769</v>
      </c>
      <c r="N2632" s="6" t="s">
        <v>21</v>
      </c>
      <c r="O2632" s="6" t="s">
        <v>22</v>
      </c>
    </row>
    <row r="2633" spans="1:15" hidden="1">
      <c r="A2633" s="6" t="s">
        <v>15</v>
      </c>
      <c r="B2633" s="6" t="str">
        <f>"FES1162691003"</f>
        <v>FES1162691003</v>
      </c>
      <c r="C2633" s="7">
        <v>43606</v>
      </c>
      <c r="D2633" s="6">
        <v>1</v>
      </c>
      <c r="E2633" s="6">
        <v>2170689329</v>
      </c>
      <c r="F2633" s="6" t="s">
        <v>16</v>
      </c>
      <c r="G2633" s="6" t="s">
        <v>17</v>
      </c>
      <c r="H2633" s="6" t="s">
        <v>43</v>
      </c>
      <c r="I2633" s="6" t="s">
        <v>44</v>
      </c>
      <c r="J2633" s="6" t="s">
        <v>3770</v>
      </c>
      <c r="K2633" s="7">
        <v>43607</v>
      </c>
      <c r="L2633" s="8">
        <v>0.42569444444444443</v>
      </c>
      <c r="M2633" s="6" t="s">
        <v>3771</v>
      </c>
      <c r="N2633" s="6" t="s">
        <v>21</v>
      </c>
      <c r="O2633" s="6" t="s">
        <v>22</v>
      </c>
    </row>
    <row r="2634" spans="1:15" hidden="1">
      <c r="A2634" s="6" t="s">
        <v>15</v>
      </c>
      <c r="B2634" s="6" t="str">
        <f>"FES1162690873"</f>
        <v>FES1162690873</v>
      </c>
      <c r="C2634" s="7">
        <v>43606</v>
      </c>
      <c r="D2634" s="6">
        <v>1</v>
      </c>
      <c r="E2634" s="6">
        <v>2170689349</v>
      </c>
      <c r="F2634" s="6" t="s">
        <v>16</v>
      </c>
      <c r="G2634" s="6" t="s">
        <v>17</v>
      </c>
      <c r="H2634" s="6" t="s">
        <v>141</v>
      </c>
      <c r="I2634" s="6" t="s">
        <v>185</v>
      </c>
      <c r="J2634" s="6" t="s">
        <v>210</v>
      </c>
      <c r="K2634" s="7">
        <v>43607</v>
      </c>
      <c r="L2634" s="8">
        <v>0.3527777777777778</v>
      </c>
      <c r="M2634" s="6" t="s">
        <v>211</v>
      </c>
      <c r="N2634" s="6" t="s">
        <v>21</v>
      </c>
      <c r="O2634" s="6" t="s">
        <v>22</v>
      </c>
    </row>
    <row r="2635" spans="1:15" hidden="1">
      <c r="A2635" s="6" t="s">
        <v>15</v>
      </c>
      <c r="B2635" s="6" t="str">
        <f>"FES1162690979"</f>
        <v>FES1162690979</v>
      </c>
      <c r="C2635" s="7">
        <v>43606</v>
      </c>
      <c r="D2635" s="6">
        <v>1</v>
      </c>
      <c r="E2635" s="6">
        <v>2170689398</v>
      </c>
      <c r="F2635" s="6" t="s">
        <v>16</v>
      </c>
      <c r="G2635" s="6" t="s">
        <v>17</v>
      </c>
      <c r="H2635" s="6" t="s">
        <v>32</v>
      </c>
      <c r="I2635" s="6" t="s">
        <v>269</v>
      </c>
      <c r="J2635" s="6" t="s">
        <v>683</v>
      </c>
      <c r="K2635" s="7">
        <v>43607</v>
      </c>
      <c r="L2635" s="8">
        <v>0.35069444444444442</v>
      </c>
      <c r="M2635" s="6" t="s">
        <v>684</v>
      </c>
      <c r="N2635" s="6" t="s">
        <v>21</v>
      </c>
      <c r="O2635" s="6" t="s">
        <v>22</v>
      </c>
    </row>
    <row r="2636" spans="1:15" hidden="1">
      <c r="A2636" s="6" t="s">
        <v>15</v>
      </c>
      <c r="B2636" s="6" t="str">
        <f>"FES1162690857"</f>
        <v>FES1162690857</v>
      </c>
      <c r="C2636" s="7">
        <v>43606</v>
      </c>
      <c r="D2636" s="6">
        <v>1</v>
      </c>
      <c r="E2636" s="6">
        <v>2170689324</v>
      </c>
      <c r="F2636" s="6" t="s">
        <v>16</v>
      </c>
      <c r="G2636" s="6" t="s">
        <v>17</v>
      </c>
      <c r="H2636" s="6" t="s">
        <v>141</v>
      </c>
      <c r="I2636" s="6" t="s">
        <v>142</v>
      </c>
      <c r="J2636" s="6" t="s">
        <v>1380</v>
      </c>
      <c r="K2636" s="7">
        <v>43607</v>
      </c>
      <c r="L2636" s="8">
        <v>0.35069444444444442</v>
      </c>
      <c r="M2636" s="6" t="s">
        <v>3004</v>
      </c>
      <c r="N2636" s="6" t="s">
        <v>21</v>
      </c>
      <c r="O2636" s="6" t="s">
        <v>22</v>
      </c>
    </row>
    <row r="2637" spans="1:15" hidden="1">
      <c r="A2637" s="6" t="s">
        <v>15</v>
      </c>
      <c r="B2637" s="6" t="str">
        <f>"FES1162690980"</f>
        <v>FES1162690980</v>
      </c>
      <c r="C2637" s="7">
        <v>43606</v>
      </c>
      <c r="D2637" s="6">
        <v>1</v>
      </c>
      <c r="E2637" s="6">
        <v>2170689402</v>
      </c>
      <c r="F2637" s="6" t="s">
        <v>16</v>
      </c>
      <c r="G2637" s="6" t="s">
        <v>17</v>
      </c>
      <c r="H2637" s="6" t="s">
        <v>37</v>
      </c>
      <c r="I2637" s="6" t="s">
        <v>38</v>
      </c>
      <c r="J2637" s="6" t="s">
        <v>535</v>
      </c>
      <c r="K2637" s="7">
        <v>43607</v>
      </c>
      <c r="L2637" s="8">
        <v>0.38194444444444442</v>
      </c>
      <c r="M2637" s="6" t="s">
        <v>3760</v>
      </c>
      <c r="N2637" s="6" t="s">
        <v>21</v>
      </c>
      <c r="O2637" s="6" t="s">
        <v>22</v>
      </c>
    </row>
    <row r="2638" spans="1:15" hidden="1">
      <c r="A2638" s="6" t="s">
        <v>15</v>
      </c>
      <c r="B2638" s="6" t="str">
        <f>"FES1162690927"</f>
        <v>FES1162690927</v>
      </c>
      <c r="C2638" s="7">
        <v>43606</v>
      </c>
      <c r="D2638" s="6">
        <v>1</v>
      </c>
      <c r="E2638" s="6">
        <v>2170687171</v>
      </c>
      <c r="F2638" s="6" t="s">
        <v>16</v>
      </c>
      <c r="G2638" s="6" t="s">
        <v>17</v>
      </c>
      <c r="H2638" s="6" t="s">
        <v>290</v>
      </c>
      <c r="I2638" s="6" t="s">
        <v>291</v>
      </c>
      <c r="J2638" s="6" t="s">
        <v>297</v>
      </c>
      <c r="K2638" s="7">
        <v>43607</v>
      </c>
      <c r="L2638" s="8">
        <v>0.3347222222222222</v>
      </c>
      <c r="M2638" s="6" t="s">
        <v>3772</v>
      </c>
      <c r="N2638" s="6" t="s">
        <v>21</v>
      </c>
      <c r="O2638" s="6" t="s">
        <v>22</v>
      </c>
    </row>
    <row r="2639" spans="1:15">
      <c r="A2639" s="6" t="s">
        <v>15</v>
      </c>
      <c r="B2639" s="6" t="str">
        <f>"FES1162690952"</f>
        <v>FES1162690952</v>
      </c>
      <c r="C2639" s="7">
        <v>43606</v>
      </c>
      <c r="D2639" s="6">
        <v>1</v>
      </c>
      <c r="E2639" s="6">
        <v>2170687740</v>
      </c>
      <c r="F2639" s="6" t="s">
        <v>16</v>
      </c>
      <c r="G2639" s="6" t="s">
        <v>17</v>
      </c>
      <c r="H2639" s="6" t="s">
        <v>17</v>
      </c>
      <c r="I2639" s="6" t="s">
        <v>64</v>
      </c>
      <c r="J2639" s="6" t="s">
        <v>3773</v>
      </c>
      <c r="K2639" s="7">
        <v>43607</v>
      </c>
      <c r="L2639" s="8">
        <v>0.42499999999999999</v>
      </c>
      <c r="M2639" s="6" t="s">
        <v>3774</v>
      </c>
      <c r="N2639" s="6" t="s">
        <v>21</v>
      </c>
      <c r="O2639" s="6" t="s">
        <v>22</v>
      </c>
    </row>
    <row r="2640" spans="1:15" hidden="1">
      <c r="A2640" s="6" t="s">
        <v>15</v>
      </c>
      <c r="B2640" s="6" t="str">
        <f>"FES1162690977"</f>
        <v>FES1162690977</v>
      </c>
      <c r="C2640" s="7">
        <v>43606</v>
      </c>
      <c r="D2640" s="6">
        <v>1</v>
      </c>
      <c r="E2640" s="6">
        <v>2170685257</v>
      </c>
      <c r="F2640" s="6" t="s">
        <v>16</v>
      </c>
      <c r="G2640" s="6" t="s">
        <v>17</v>
      </c>
      <c r="H2640" s="6" t="s">
        <v>290</v>
      </c>
      <c r="I2640" s="6" t="s">
        <v>291</v>
      </c>
      <c r="J2640" s="6" t="s">
        <v>3775</v>
      </c>
      <c r="K2640" s="7">
        <v>43607</v>
      </c>
      <c r="L2640" s="8">
        <v>0.36458333333333331</v>
      </c>
      <c r="M2640" s="6" t="s">
        <v>3776</v>
      </c>
      <c r="N2640" s="6" t="s">
        <v>21</v>
      </c>
      <c r="O2640" s="6" t="s">
        <v>22</v>
      </c>
    </row>
    <row r="2641" spans="1:15" hidden="1">
      <c r="A2641" s="6" t="s">
        <v>15</v>
      </c>
      <c r="B2641" s="6" t="str">
        <f>"FES1162690906"</f>
        <v>FES1162690906</v>
      </c>
      <c r="C2641" s="7">
        <v>43606</v>
      </c>
      <c r="D2641" s="6">
        <v>1</v>
      </c>
      <c r="E2641" s="6">
        <v>2170687863</v>
      </c>
      <c r="F2641" s="6" t="s">
        <v>16</v>
      </c>
      <c r="G2641" s="6" t="s">
        <v>17</v>
      </c>
      <c r="H2641" s="6" t="s">
        <v>290</v>
      </c>
      <c r="I2641" s="6" t="s">
        <v>291</v>
      </c>
      <c r="J2641" s="6" t="s">
        <v>2324</v>
      </c>
      <c r="K2641" s="7">
        <v>43607</v>
      </c>
      <c r="L2641" s="8">
        <v>0.33333333333333331</v>
      </c>
      <c r="M2641" s="6" t="s">
        <v>3777</v>
      </c>
      <c r="N2641" s="6" t="s">
        <v>21</v>
      </c>
      <c r="O2641" s="6" t="s">
        <v>22</v>
      </c>
    </row>
    <row r="2642" spans="1:15" hidden="1">
      <c r="A2642" s="6" t="s">
        <v>15</v>
      </c>
      <c r="B2642" s="6" t="str">
        <f>"FES1162690905"</f>
        <v>FES1162690905</v>
      </c>
      <c r="C2642" s="7">
        <v>43606</v>
      </c>
      <c r="D2642" s="6">
        <v>1</v>
      </c>
      <c r="E2642" s="6">
        <v>2170687861</v>
      </c>
      <c r="F2642" s="6" t="s">
        <v>16</v>
      </c>
      <c r="G2642" s="6" t="s">
        <v>17</v>
      </c>
      <c r="H2642" s="6" t="s">
        <v>290</v>
      </c>
      <c r="I2642" s="6" t="s">
        <v>291</v>
      </c>
      <c r="J2642" s="6" t="s">
        <v>2324</v>
      </c>
      <c r="K2642" s="7">
        <v>43607</v>
      </c>
      <c r="L2642" s="8">
        <v>0.33333333333333331</v>
      </c>
      <c r="M2642" s="6" t="s">
        <v>3778</v>
      </c>
      <c r="N2642" s="6" t="s">
        <v>21</v>
      </c>
      <c r="O2642" s="6" t="s">
        <v>22</v>
      </c>
    </row>
    <row r="2643" spans="1:15" hidden="1">
      <c r="A2643" s="6" t="s">
        <v>15</v>
      </c>
      <c r="B2643" s="6" t="str">
        <f>"FES1162690990"</f>
        <v>FES1162690990</v>
      </c>
      <c r="C2643" s="7">
        <v>43606</v>
      </c>
      <c r="D2643" s="6">
        <v>1</v>
      </c>
      <c r="E2643" s="6">
        <v>2170689410</v>
      </c>
      <c r="F2643" s="6" t="s">
        <v>16</v>
      </c>
      <c r="G2643" s="6" t="s">
        <v>17</v>
      </c>
      <c r="H2643" s="6" t="s">
        <v>290</v>
      </c>
      <c r="I2643" s="6" t="s">
        <v>291</v>
      </c>
      <c r="J2643" s="6" t="s">
        <v>609</v>
      </c>
      <c r="K2643" s="7">
        <v>43607</v>
      </c>
      <c r="L2643" s="8">
        <v>0.40972222222222227</v>
      </c>
      <c r="M2643" s="6" t="s">
        <v>2566</v>
      </c>
      <c r="N2643" s="6" t="s">
        <v>21</v>
      </c>
      <c r="O2643" s="6" t="s">
        <v>22</v>
      </c>
    </row>
    <row r="2644" spans="1:15">
      <c r="A2644" s="6" t="s">
        <v>15</v>
      </c>
      <c r="B2644" s="6" t="str">
        <f>"FES1162690807"</f>
        <v>FES1162690807</v>
      </c>
      <c r="C2644" s="7">
        <v>43606</v>
      </c>
      <c r="D2644" s="6">
        <v>1</v>
      </c>
      <c r="E2644" s="6">
        <v>2170689179</v>
      </c>
      <c r="F2644" s="6" t="s">
        <v>16</v>
      </c>
      <c r="G2644" s="6" t="s">
        <v>17</v>
      </c>
      <c r="H2644" s="6" t="s">
        <v>17</v>
      </c>
      <c r="I2644" s="6" t="s">
        <v>64</v>
      </c>
      <c r="J2644" s="6" t="s">
        <v>513</v>
      </c>
      <c r="K2644" s="7">
        <v>43607</v>
      </c>
      <c r="L2644" s="8">
        <v>0.43055555555555558</v>
      </c>
      <c r="M2644" s="6" t="s">
        <v>2892</v>
      </c>
      <c r="N2644" s="6" t="s">
        <v>21</v>
      </c>
      <c r="O2644" s="6" t="s">
        <v>22</v>
      </c>
    </row>
    <row r="2645" spans="1:15" hidden="1">
      <c r="A2645" s="6" t="s">
        <v>15</v>
      </c>
      <c r="B2645" s="6" t="str">
        <f>"FES1162690926"</f>
        <v>FES1162690926</v>
      </c>
      <c r="C2645" s="7">
        <v>43606</v>
      </c>
      <c r="D2645" s="6">
        <v>1</v>
      </c>
      <c r="E2645" s="6">
        <v>2170687137</v>
      </c>
      <c r="F2645" s="6" t="s">
        <v>16</v>
      </c>
      <c r="G2645" s="6" t="s">
        <v>17</v>
      </c>
      <c r="H2645" s="6" t="s">
        <v>525</v>
      </c>
      <c r="I2645" s="6" t="s">
        <v>3779</v>
      </c>
      <c r="J2645" s="6" t="s">
        <v>3780</v>
      </c>
      <c r="K2645" s="7">
        <v>43607</v>
      </c>
      <c r="L2645" s="8">
        <v>0.3979166666666667</v>
      </c>
      <c r="M2645" s="6" t="s">
        <v>1169</v>
      </c>
      <c r="N2645" s="6" t="s">
        <v>21</v>
      </c>
      <c r="O2645" s="6" t="s">
        <v>22</v>
      </c>
    </row>
    <row r="2646" spans="1:15" hidden="1">
      <c r="A2646" s="6" t="s">
        <v>15</v>
      </c>
      <c r="B2646" s="6" t="str">
        <f>"FES1162690879"</f>
        <v>FES1162690879</v>
      </c>
      <c r="C2646" s="7">
        <v>43606</v>
      </c>
      <c r="D2646" s="6">
        <v>1</v>
      </c>
      <c r="E2646" s="6">
        <v>2170689356</v>
      </c>
      <c r="F2646" s="6" t="s">
        <v>16</v>
      </c>
      <c r="G2646" s="6" t="s">
        <v>17</v>
      </c>
      <c r="H2646" s="6" t="s">
        <v>290</v>
      </c>
      <c r="I2646" s="6" t="s">
        <v>316</v>
      </c>
      <c r="J2646" s="6" t="s">
        <v>317</v>
      </c>
      <c r="K2646" s="7">
        <v>43607</v>
      </c>
      <c r="L2646" s="8">
        <v>0.41666666666666669</v>
      </c>
      <c r="M2646" s="6" t="s">
        <v>92</v>
      </c>
      <c r="N2646" s="6" t="s">
        <v>21</v>
      </c>
      <c r="O2646" s="6" t="s">
        <v>22</v>
      </c>
    </row>
    <row r="2647" spans="1:15" hidden="1">
      <c r="A2647" s="6" t="s">
        <v>15</v>
      </c>
      <c r="B2647" s="6" t="str">
        <f>"FES1162690993"</f>
        <v>FES1162690993</v>
      </c>
      <c r="C2647" s="7">
        <v>43606</v>
      </c>
      <c r="D2647" s="6">
        <v>1</v>
      </c>
      <c r="E2647" s="6">
        <v>2170689413</v>
      </c>
      <c r="F2647" s="6" t="s">
        <v>16</v>
      </c>
      <c r="G2647" s="6" t="s">
        <v>17</v>
      </c>
      <c r="H2647" s="6" t="s">
        <v>290</v>
      </c>
      <c r="I2647" s="6" t="s">
        <v>291</v>
      </c>
      <c r="J2647" s="6" t="s">
        <v>1744</v>
      </c>
      <c r="K2647" s="7">
        <v>43607</v>
      </c>
      <c r="L2647" s="8">
        <v>0.36458333333333331</v>
      </c>
      <c r="M2647" s="6" t="s">
        <v>2556</v>
      </c>
      <c r="N2647" s="6" t="s">
        <v>21</v>
      </c>
      <c r="O2647" s="6" t="s">
        <v>22</v>
      </c>
    </row>
    <row r="2648" spans="1:15">
      <c r="A2648" s="6" t="s">
        <v>15</v>
      </c>
      <c r="B2648" s="6" t="str">
        <f>"FES1162690805"</f>
        <v>FES1162690805</v>
      </c>
      <c r="C2648" s="7">
        <v>43606</v>
      </c>
      <c r="D2648" s="6">
        <v>1</v>
      </c>
      <c r="E2648" s="6">
        <v>2170687803</v>
      </c>
      <c r="F2648" s="6" t="s">
        <v>16</v>
      </c>
      <c r="G2648" s="6" t="s">
        <v>17</v>
      </c>
      <c r="H2648" s="6" t="s">
        <v>17</v>
      </c>
      <c r="I2648" s="6" t="s">
        <v>18</v>
      </c>
      <c r="J2648" s="6" t="s">
        <v>3277</v>
      </c>
      <c r="K2648" s="7">
        <v>43607</v>
      </c>
      <c r="L2648" s="8">
        <v>0.38125000000000003</v>
      </c>
      <c r="M2648" s="6" t="s">
        <v>3752</v>
      </c>
      <c r="N2648" s="6" t="s">
        <v>21</v>
      </c>
      <c r="O2648" s="6" t="s">
        <v>22</v>
      </c>
    </row>
    <row r="2649" spans="1:15" hidden="1">
      <c r="A2649" s="6" t="s">
        <v>15</v>
      </c>
      <c r="B2649" s="6" t="str">
        <f>"FES1162690883"</f>
        <v>FES1162690883</v>
      </c>
      <c r="C2649" s="7">
        <v>43606</v>
      </c>
      <c r="D2649" s="6">
        <v>1</v>
      </c>
      <c r="E2649" s="6">
        <v>2170686543</v>
      </c>
      <c r="F2649" s="6" t="s">
        <v>16</v>
      </c>
      <c r="G2649" s="6" t="s">
        <v>17</v>
      </c>
      <c r="H2649" s="6" t="s">
        <v>300</v>
      </c>
      <c r="I2649" s="6" t="s">
        <v>301</v>
      </c>
      <c r="J2649" s="6" t="s">
        <v>3781</v>
      </c>
      <c r="K2649" s="7">
        <v>43607</v>
      </c>
      <c r="L2649" s="8">
        <v>0.41666666666666669</v>
      </c>
      <c r="M2649" s="6" t="s">
        <v>3782</v>
      </c>
      <c r="N2649" s="6" t="s">
        <v>21</v>
      </c>
      <c r="O2649" s="6" t="s">
        <v>22</v>
      </c>
    </row>
    <row r="2650" spans="1:15">
      <c r="A2650" s="6" t="s">
        <v>15</v>
      </c>
      <c r="B2650" s="6" t="str">
        <f>"FES1162690915"</f>
        <v>FES1162690915</v>
      </c>
      <c r="C2650" s="7">
        <v>43606</v>
      </c>
      <c r="D2650" s="6">
        <v>1</v>
      </c>
      <c r="E2650" s="6">
        <v>2170689360</v>
      </c>
      <c r="F2650" s="6" t="s">
        <v>16</v>
      </c>
      <c r="G2650" s="6" t="s">
        <v>17</v>
      </c>
      <c r="H2650" s="6" t="s">
        <v>17</v>
      </c>
      <c r="I2650" s="6" t="s">
        <v>29</v>
      </c>
      <c r="J2650" s="6" t="s">
        <v>1080</v>
      </c>
      <c r="K2650" s="7">
        <v>43607</v>
      </c>
      <c r="L2650" s="8">
        <v>0.35416666666666669</v>
      </c>
      <c r="M2650" s="6" t="s">
        <v>3692</v>
      </c>
      <c r="N2650" s="6" t="s">
        <v>21</v>
      </c>
      <c r="O2650" s="6" t="s">
        <v>22</v>
      </c>
    </row>
    <row r="2651" spans="1:15">
      <c r="A2651" s="6" t="s">
        <v>15</v>
      </c>
      <c r="B2651" s="6" t="str">
        <f>"FES1162690974"</f>
        <v>FES1162690974</v>
      </c>
      <c r="C2651" s="7">
        <v>43606</v>
      </c>
      <c r="D2651" s="6">
        <v>1</v>
      </c>
      <c r="E2651" s="6">
        <v>2170689392</v>
      </c>
      <c r="F2651" s="6" t="s">
        <v>16</v>
      </c>
      <c r="G2651" s="6" t="s">
        <v>17</v>
      </c>
      <c r="H2651" s="6" t="s">
        <v>17</v>
      </c>
      <c r="I2651" s="6" t="s">
        <v>18</v>
      </c>
      <c r="J2651" s="6" t="s">
        <v>19</v>
      </c>
      <c r="K2651" s="7">
        <v>43607</v>
      </c>
      <c r="L2651" s="8">
        <v>0.38819444444444445</v>
      </c>
      <c r="M2651" s="6" t="s">
        <v>1327</v>
      </c>
      <c r="N2651" s="6" t="s">
        <v>21</v>
      </c>
      <c r="O2651" s="6" t="s">
        <v>22</v>
      </c>
    </row>
    <row r="2652" spans="1:15">
      <c r="A2652" s="6" t="s">
        <v>15</v>
      </c>
      <c r="B2652" s="6" t="str">
        <f>"FES1162690996"</f>
        <v>FES1162690996</v>
      </c>
      <c r="C2652" s="7">
        <v>43606</v>
      </c>
      <c r="D2652" s="6">
        <v>1</v>
      </c>
      <c r="E2652" s="6">
        <v>2170689418</v>
      </c>
      <c r="F2652" s="6" t="s">
        <v>16</v>
      </c>
      <c r="G2652" s="6" t="s">
        <v>17</v>
      </c>
      <c r="H2652" s="6" t="s">
        <v>17</v>
      </c>
      <c r="I2652" s="6" t="s">
        <v>701</v>
      </c>
      <c r="J2652" s="6" t="s">
        <v>3783</v>
      </c>
      <c r="K2652" s="7">
        <v>43607</v>
      </c>
      <c r="L2652" s="8">
        <v>0.33333333333333331</v>
      </c>
      <c r="M2652" s="6" t="s">
        <v>163</v>
      </c>
      <c r="N2652" s="6" t="s">
        <v>21</v>
      </c>
      <c r="O2652" s="6" t="s">
        <v>22</v>
      </c>
    </row>
    <row r="2653" spans="1:15">
      <c r="A2653" s="17" t="s">
        <v>15</v>
      </c>
      <c r="B2653" s="17" t="str">
        <f>"FES1162690932"</f>
        <v>FES1162690932</v>
      </c>
      <c r="C2653" s="18">
        <v>43606</v>
      </c>
      <c r="D2653" s="17">
        <v>1</v>
      </c>
      <c r="E2653" s="17">
        <v>2170687271</v>
      </c>
      <c r="F2653" s="17" t="s">
        <v>16</v>
      </c>
      <c r="G2653" s="17" t="s">
        <v>17</v>
      </c>
      <c r="H2653" s="17" t="s">
        <v>17</v>
      </c>
      <c r="I2653" s="17" t="s">
        <v>64</v>
      </c>
      <c r="J2653" s="17" t="s">
        <v>875</v>
      </c>
      <c r="K2653" s="18">
        <v>43607</v>
      </c>
      <c r="L2653" s="19">
        <v>0.33333333333333331</v>
      </c>
      <c r="M2653" s="17" t="s">
        <v>3784</v>
      </c>
      <c r="N2653" s="17" t="s">
        <v>21</v>
      </c>
      <c r="O2653" s="17" t="s">
        <v>22</v>
      </c>
    </row>
    <row r="2654" spans="1:15">
      <c r="A2654" s="6" t="s">
        <v>15</v>
      </c>
      <c r="B2654" s="6" t="str">
        <f>"FES1162690983"</f>
        <v>FES1162690983</v>
      </c>
      <c r="C2654" s="7">
        <v>43606</v>
      </c>
      <c r="D2654" s="6">
        <v>1</v>
      </c>
      <c r="E2654" s="6">
        <v>2170689405</v>
      </c>
      <c r="F2654" s="6" t="s">
        <v>16</v>
      </c>
      <c r="G2654" s="6" t="s">
        <v>17</v>
      </c>
      <c r="H2654" s="6" t="s">
        <v>17</v>
      </c>
      <c r="I2654" s="6" t="s">
        <v>67</v>
      </c>
      <c r="J2654" s="6" t="s">
        <v>1621</v>
      </c>
      <c r="K2654" s="7">
        <v>43607</v>
      </c>
      <c r="L2654" s="8">
        <v>0.36249999999999999</v>
      </c>
      <c r="M2654" s="6" t="s">
        <v>1622</v>
      </c>
      <c r="N2654" s="6" t="s">
        <v>21</v>
      </c>
      <c r="O2654" s="6" t="s">
        <v>22</v>
      </c>
    </row>
    <row r="2655" spans="1:15">
      <c r="A2655" s="6" t="s">
        <v>15</v>
      </c>
      <c r="B2655" s="6" t="str">
        <f>"FES1162690826"</f>
        <v>FES1162690826</v>
      </c>
      <c r="C2655" s="7">
        <v>43606</v>
      </c>
      <c r="D2655" s="6">
        <v>1</v>
      </c>
      <c r="E2655" s="6">
        <v>2170689270</v>
      </c>
      <c r="F2655" s="6" t="s">
        <v>16</v>
      </c>
      <c r="G2655" s="6" t="s">
        <v>17</v>
      </c>
      <c r="H2655" s="6" t="s">
        <v>17</v>
      </c>
      <c r="I2655" s="6" t="s">
        <v>64</v>
      </c>
      <c r="J2655" s="6" t="s">
        <v>3785</v>
      </c>
      <c r="K2655" s="7">
        <v>43607</v>
      </c>
      <c r="L2655" s="8">
        <v>0.30208333333333331</v>
      </c>
      <c r="M2655" s="6" t="s">
        <v>3786</v>
      </c>
      <c r="N2655" s="6" t="s">
        <v>21</v>
      </c>
      <c r="O2655" s="6" t="s">
        <v>22</v>
      </c>
    </row>
    <row r="2656" spans="1:15">
      <c r="A2656" s="6" t="s">
        <v>15</v>
      </c>
      <c r="B2656" s="6" t="str">
        <f>"FES1162690920"</f>
        <v>FES1162690920</v>
      </c>
      <c r="C2656" s="7">
        <v>43606</v>
      </c>
      <c r="D2656" s="6">
        <v>1</v>
      </c>
      <c r="E2656" s="6">
        <v>21706873073</v>
      </c>
      <c r="F2656" s="6" t="s">
        <v>16</v>
      </c>
      <c r="G2656" s="6" t="s">
        <v>17</v>
      </c>
      <c r="H2656" s="6" t="s">
        <v>17</v>
      </c>
      <c r="I2656" s="6" t="s">
        <v>148</v>
      </c>
      <c r="J2656" s="6" t="s">
        <v>153</v>
      </c>
      <c r="K2656" s="7">
        <v>43607</v>
      </c>
      <c r="L2656" s="8">
        <v>0.43055555555555558</v>
      </c>
      <c r="M2656" s="6" t="s">
        <v>3787</v>
      </c>
      <c r="N2656" s="6" t="s">
        <v>21</v>
      </c>
      <c r="O2656" s="6" t="s">
        <v>22</v>
      </c>
    </row>
    <row r="2657" spans="1:15">
      <c r="A2657" s="6" t="s">
        <v>15</v>
      </c>
      <c r="B2657" s="6" t="str">
        <f>"FES1162690898"</f>
        <v>FES1162690898</v>
      </c>
      <c r="C2657" s="7">
        <v>43606</v>
      </c>
      <c r="D2657" s="6">
        <v>1</v>
      </c>
      <c r="E2657" s="6">
        <v>2170687802</v>
      </c>
      <c r="F2657" s="6" t="s">
        <v>16</v>
      </c>
      <c r="G2657" s="6" t="s">
        <v>17</v>
      </c>
      <c r="H2657" s="6" t="s">
        <v>17</v>
      </c>
      <c r="I2657" s="6" t="s">
        <v>18</v>
      </c>
      <c r="J2657" s="6" t="s">
        <v>3277</v>
      </c>
      <c r="K2657" s="7">
        <v>43607</v>
      </c>
      <c r="L2657" s="8">
        <v>0.38125000000000003</v>
      </c>
      <c r="M2657" s="6" t="s">
        <v>3752</v>
      </c>
      <c r="N2657" s="6" t="s">
        <v>21</v>
      </c>
      <c r="O2657" s="6" t="s">
        <v>22</v>
      </c>
    </row>
    <row r="2658" spans="1:15">
      <c r="A2658" s="6" t="s">
        <v>15</v>
      </c>
      <c r="B2658" s="6" t="str">
        <f>"FES1162691004"</f>
        <v>FES1162691004</v>
      </c>
      <c r="C2658" s="7">
        <v>43606</v>
      </c>
      <c r="D2658" s="6">
        <v>1</v>
      </c>
      <c r="E2658" s="6">
        <v>2170689420</v>
      </c>
      <c r="F2658" s="6" t="s">
        <v>16</v>
      </c>
      <c r="G2658" s="6" t="s">
        <v>17</v>
      </c>
      <c r="H2658" s="6" t="s">
        <v>17</v>
      </c>
      <c r="I2658" s="6" t="s">
        <v>701</v>
      </c>
      <c r="J2658" s="6" t="s">
        <v>3788</v>
      </c>
      <c r="K2658" s="7">
        <v>43607</v>
      </c>
      <c r="L2658" s="8">
        <v>0.37152777777777773</v>
      </c>
      <c r="M2658" s="6" t="s">
        <v>2606</v>
      </c>
      <c r="N2658" s="6" t="s">
        <v>21</v>
      </c>
      <c r="O2658" s="6" t="s">
        <v>22</v>
      </c>
    </row>
    <row r="2659" spans="1:15">
      <c r="A2659" s="6" t="s">
        <v>15</v>
      </c>
      <c r="B2659" s="6" t="str">
        <f>"FES1162690804"</f>
        <v>FES1162690804</v>
      </c>
      <c r="C2659" s="7">
        <v>43606</v>
      </c>
      <c r="D2659" s="6">
        <v>1</v>
      </c>
      <c r="E2659" s="6">
        <v>2170687802</v>
      </c>
      <c r="F2659" s="6" t="s">
        <v>16</v>
      </c>
      <c r="G2659" s="6" t="s">
        <v>17</v>
      </c>
      <c r="H2659" s="6" t="s">
        <v>17</v>
      </c>
      <c r="I2659" s="6" t="s">
        <v>18</v>
      </c>
      <c r="J2659" s="6" t="s">
        <v>3277</v>
      </c>
      <c r="K2659" s="7">
        <v>43607</v>
      </c>
      <c r="L2659" s="8">
        <v>0.38125000000000003</v>
      </c>
      <c r="M2659" s="6" t="s">
        <v>3789</v>
      </c>
      <c r="N2659" s="6" t="s">
        <v>21</v>
      </c>
      <c r="O2659" s="6" t="s">
        <v>22</v>
      </c>
    </row>
    <row r="2660" spans="1:15">
      <c r="A2660" s="17" t="s">
        <v>15</v>
      </c>
      <c r="B2660" s="17" t="str">
        <f>"FES1162690953"</f>
        <v>FES1162690953</v>
      </c>
      <c r="C2660" s="18">
        <v>43606</v>
      </c>
      <c r="D2660" s="17">
        <v>1</v>
      </c>
      <c r="E2660" s="17">
        <v>2170687917</v>
      </c>
      <c r="F2660" s="17" t="s">
        <v>16</v>
      </c>
      <c r="G2660" s="17" t="s">
        <v>17</v>
      </c>
      <c r="H2660" s="17" t="s">
        <v>17</v>
      </c>
      <c r="I2660" s="17" t="s">
        <v>18</v>
      </c>
      <c r="J2660" s="17" t="s">
        <v>2372</v>
      </c>
      <c r="K2660" s="18">
        <v>43607</v>
      </c>
      <c r="L2660" s="19">
        <v>0.41180555555555554</v>
      </c>
      <c r="M2660" s="17" t="s">
        <v>3790</v>
      </c>
      <c r="N2660" s="17" t="s">
        <v>21</v>
      </c>
      <c r="O2660" s="17" t="s">
        <v>22</v>
      </c>
    </row>
    <row r="2661" spans="1:15" hidden="1">
      <c r="A2661" s="17" t="s">
        <v>15</v>
      </c>
      <c r="B2661" s="17" t="str">
        <f>"FES1162690796"</f>
        <v>FES1162690796</v>
      </c>
      <c r="C2661" s="18">
        <v>43606</v>
      </c>
      <c r="D2661" s="17">
        <v>1</v>
      </c>
      <c r="E2661" s="17">
        <v>2170686186</v>
      </c>
      <c r="F2661" s="17" t="s">
        <v>16</v>
      </c>
      <c r="G2661" s="17" t="s">
        <v>17</v>
      </c>
      <c r="H2661" s="17" t="s">
        <v>121</v>
      </c>
      <c r="I2661" s="17" t="s">
        <v>2178</v>
      </c>
      <c r="J2661" s="17" t="s">
        <v>2179</v>
      </c>
      <c r="K2661" s="18">
        <v>43607</v>
      </c>
      <c r="L2661" s="19">
        <v>0.41180555555555554</v>
      </c>
      <c r="M2661" s="17" t="s">
        <v>3791</v>
      </c>
      <c r="N2661" s="17" t="s">
        <v>21</v>
      </c>
      <c r="O2661" s="17" t="s">
        <v>22</v>
      </c>
    </row>
    <row r="2662" spans="1:15">
      <c r="A2662" s="17" t="s">
        <v>15</v>
      </c>
      <c r="B2662" s="17" t="str">
        <f>"FES1162691025"</f>
        <v>FES1162691025</v>
      </c>
      <c r="C2662" s="18">
        <v>43606</v>
      </c>
      <c r="D2662" s="17">
        <v>1</v>
      </c>
      <c r="E2662" s="17">
        <v>2170689444</v>
      </c>
      <c r="F2662" s="17" t="s">
        <v>16</v>
      </c>
      <c r="G2662" s="17" t="s">
        <v>17</v>
      </c>
      <c r="H2662" s="17" t="s">
        <v>17</v>
      </c>
      <c r="I2662" s="17" t="s">
        <v>29</v>
      </c>
      <c r="J2662" s="17" t="s">
        <v>616</v>
      </c>
      <c r="K2662" s="18">
        <v>43607</v>
      </c>
      <c r="L2662" s="19">
        <v>0.38611111111111113</v>
      </c>
      <c r="M2662" s="17" t="s">
        <v>3792</v>
      </c>
      <c r="N2662" s="17" t="s">
        <v>21</v>
      </c>
      <c r="O2662" s="17" t="s">
        <v>22</v>
      </c>
    </row>
    <row r="2663" spans="1:15">
      <c r="A2663" s="17" t="s">
        <v>15</v>
      </c>
      <c r="B2663" s="17" t="str">
        <f>"FES1162690840"</f>
        <v>FES1162690840</v>
      </c>
      <c r="C2663" s="18">
        <v>43606</v>
      </c>
      <c r="D2663" s="17">
        <v>1</v>
      </c>
      <c r="E2663" s="17">
        <v>217689302</v>
      </c>
      <c r="F2663" s="17" t="s">
        <v>16</v>
      </c>
      <c r="G2663" s="17" t="s">
        <v>17</v>
      </c>
      <c r="H2663" s="17" t="s">
        <v>17</v>
      </c>
      <c r="I2663" s="17" t="s">
        <v>18</v>
      </c>
      <c r="J2663" s="17" t="s">
        <v>19</v>
      </c>
      <c r="K2663" s="18">
        <v>43607</v>
      </c>
      <c r="L2663" s="19">
        <v>0.38819444444444445</v>
      </c>
      <c r="M2663" s="17" t="s">
        <v>1327</v>
      </c>
      <c r="N2663" s="17" t="s">
        <v>21</v>
      </c>
      <c r="O2663" s="17" t="s">
        <v>22</v>
      </c>
    </row>
    <row r="2664" spans="1:15" hidden="1">
      <c r="A2664" s="17" t="s">
        <v>15</v>
      </c>
      <c r="B2664" s="17" t="str">
        <f>"FES1162690904"</f>
        <v>FES1162690904</v>
      </c>
      <c r="C2664" s="18">
        <v>43606</v>
      </c>
      <c r="D2664" s="17">
        <v>1</v>
      </c>
      <c r="E2664" s="17">
        <v>2170687851</v>
      </c>
      <c r="F2664" s="17" t="s">
        <v>16</v>
      </c>
      <c r="G2664" s="17" t="s">
        <v>17</v>
      </c>
      <c r="H2664" s="17" t="s">
        <v>290</v>
      </c>
      <c r="I2664" s="17" t="s">
        <v>291</v>
      </c>
      <c r="J2664" s="17" t="s">
        <v>966</v>
      </c>
      <c r="K2664" s="18">
        <v>43607</v>
      </c>
      <c r="L2664" s="19">
        <v>0.34722222222222227</v>
      </c>
      <c r="M2664" s="17" t="s">
        <v>2498</v>
      </c>
      <c r="N2664" s="17" t="s">
        <v>21</v>
      </c>
      <c r="O2664" s="17" t="s">
        <v>22</v>
      </c>
    </row>
    <row r="2665" spans="1:15">
      <c r="A2665" s="17" t="s">
        <v>15</v>
      </c>
      <c r="B2665" s="17" t="str">
        <f>"FES1162691047"</f>
        <v>FES1162691047</v>
      </c>
      <c r="C2665" s="18">
        <v>43606</v>
      </c>
      <c r="D2665" s="17">
        <v>1</v>
      </c>
      <c r="E2665" s="17">
        <v>2170689472</v>
      </c>
      <c r="F2665" s="17" t="s">
        <v>16</v>
      </c>
      <c r="G2665" s="17" t="s">
        <v>17</v>
      </c>
      <c r="H2665" s="17" t="s">
        <v>17</v>
      </c>
      <c r="I2665" s="17" t="s">
        <v>64</v>
      </c>
      <c r="J2665" s="17" t="s">
        <v>2573</v>
      </c>
      <c r="K2665" s="18">
        <v>43607</v>
      </c>
      <c r="L2665" s="19">
        <v>0.34722222222222227</v>
      </c>
      <c r="M2665" s="17" t="s">
        <v>3793</v>
      </c>
      <c r="N2665" s="17" t="s">
        <v>21</v>
      </c>
      <c r="O2665" s="17" t="s">
        <v>22</v>
      </c>
    </row>
    <row r="2666" spans="1:15">
      <c r="A2666" s="17" t="s">
        <v>15</v>
      </c>
      <c r="B2666" s="17" t="str">
        <f>"FES1162690890"</f>
        <v>FES1162690890</v>
      </c>
      <c r="C2666" s="18">
        <v>43606</v>
      </c>
      <c r="D2666" s="17">
        <v>1</v>
      </c>
      <c r="E2666" s="17">
        <v>2170687571</v>
      </c>
      <c r="F2666" s="17" t="s">
        <v>16</v>
      </c>
      <c r="G2666" s="17" t="s">
        <v>17</v>
      </c>
      <c r="H2666" s="17" t="s">
        <v>17</v>
      </c>
      <c r="I2666" s="17" t="s">
        <v>18</v>
      </c>
      <c r="J2666" s="17" t="s">
        <v>114</v>
      </c>
      <c r="K2666" s="18">
        <v>43607</v>
      </c>
      <c r="L2666" s="19">
        <v>0.4055555555555555</v>
      </c>
      <c r="M2666" s="17" t="s">
        <v>481</v>
      </c>
      <c r="N2666" s="17" t="s">
        <v>21</v>
      </c>
      <c r="O2666" s="17" t="s">
        <v>22</v>
      </c>
    </row>
    <row r="2667" spans="1:15">
      <c r="A2667" s="17" t="s">
        <v>15</v>
      </c>
      <c r="B2667" s="17" t="str">
        <f>"FES1162690845"</f>
        <v>FES1162690845</v>
      </c>
      <c r="C2667" s="18">
        <v>43606</v>
      </c>
      <c r="D2667" s="17">
        <v>1</v>
      </c>
      <c r="E2667" s="17">
        <v>2170689307</v>
      </c>
      <c r="F2667" s="17" t="s">
        <v>16</v>
      </c>
      <c r="G2667" s="17" t="s">
        <v>17</v>
      </c>
      <c r="H2667" s="17" t="s">
        <v>17</v>
      </c>
      <c r="I2667" s="17" t="s">
        <v>67</v>
      </c>
      <c r="J2667" s="17" t="s">
        <v>1621</v>
      </c>
      <c r="K2667" s="18">
        <v>43607</v>
      </c>
      <c r="L2667" s="19">
        <v>0.36249999999999999</v>
      </c>
      <c r="M2667" s="17" t="s">
        <v>1622</v>
      </c>
      <c r="N2667" s="17" t="s">
        <v>21</v>
      </c>
      <c r="O2667" s="17" t="s">
        <v>22</v>
      </c>
    </row>
    <row r="2668" spans="1:15" hidden="1">
      <c r="A2668" s="6" t="s">
        <v>15</v>
      </c>
      <c r="B2668" s="6" t="str">
        <f>"FES1162691050"</f>
        <v>FES1162691050</v>
      </c>
      <c r="C2668" s="7">
        <v>43606</v>
      </c>
      <c r="D2668" s="6">
        <v>1</v>
      </c>
      <c r="E2668" s="6">
        <v>2170689478</v>
      </c>
      <c r="F2668" s="6" t="s">
        <v>16</v>
      </c>
      <c r="G2668" s="6" t="s">
        <v>17</v>
      </c>
      <c r="H2668" s="6" t="s">
        <v>43</v>
      </c>
      <c r="I2668" s="6" t="s">
        <v>44</v>
      </c>
      <c r="J2668" s="6" t="s">
        <v>3794</v>
      </c>
      <c r="K2668" s="7">
        <v>43607</v>
      </c>
      <c r="L2668" s="8">
        <v>0.3833333333333333</v>
      </c>
      <c r="M2668" s="6" t="s">
        <v>3795</v>
      </c>
      <c r="N2668" s="6" t="s">
        <v>21</v>
      </c>
      <c r="O2668" s="6" t="s">
        <v>22</v>
      </c>
    </row>
    <row r="2669" spans="1:15">
      <c r="A2669" s="6" t="s">
        <v>15</v>
      </c>
      <c r="B2669" s="6" t="str">
        <f>"FES1162690820"</f>
        <v>FES1162690820</v>
      </c>
      <c r="C2669" s="7">
        <v>43606</v>
      </c>
      <c r="D2669" s="6">
        <v>1</v>
      </c>
      <c r="E2669" s="6">
        <v>2170689136</v>
      </c>
      <c r="F2669" s="6" t="s">
        <v>16</v>
      </c>
      <c r="G2669" s="6" t="s">
        <v>17</v>
      </c>
      <c r="H2669" s="6" t="s">
        <v>17</v>
      </c>
      <c r="I2669" s="6" t="s">
        <v>18</v>
      </c>
      <c r="J2669" s="6" t="s">
        <v>89</v>
      </c>
      <c r="K2669" s="7">
        <v>43607</v>
      </c>
      <c r="L2669" s="8">
        <v>0.35416666666666669</v>
      </c>
      <c r="M2669" s="6" t="s">
        <v>120</v>
      </c>
      <c r="N2669" s="6" t="s">
        <v>21</v>
      </c>
      <c r="O2669" s="6" t="s">
        <v>22</v>
      </c>
    </row>
    <row r="2670" spans="1:15" hidden="1">
      <c r="A2670" s="6" t="s">
        <v>15</v>
      </c>
      <c r="B2670" s="6" t="str">
        <f>"FES1162690970"</f>
        <v>FES1162690970</v>
      </c>
      <c r="C2670" s="7">
        <v>43606</v>
      </c>
      <c r="D2670" s="6">
        <v>1</v>
      </c>
      <c r="E2670" s="6">
        <v>217069384</v>
      </c>
      <c r="F2670" s="6" t="s">
        <v>16</v>
      </c>
      <c r="G2670" s="6" t="s">
        <v>17</v>
      </c>
      <c r="H2670" s="6" t="s">
        <v>43</v>
      </c>
      <c r="I2670" s="6" t="s">
        <v>44</v>
      </c>
      <c r="J2670" s="6" t="s">
        <v>207</v>
      </c>
      <c r="K2670" s="7">
        <v>43607</v>
      </c>
      <c r="L2670" s="8">
        <v>0.41666666666666669</v>
      </c>
      <c r="M2670" s="6" t="s">
        <v>1789</v>
      </c>
      <c r="N2670" s="6" t="s">
        <v>21</v>
      </c>
      <c r="O2670" s="6" t="s">
        <v>22</v>
      </c>
    </row>
    <row r="2671" spans="1:15" hidden="1">
      <c r="A2671" s="6" t="s">
        <v>15</v>
      </c>
      <c r="B2671" s="6" t="str">
        <f>"FES1162691040"</f>
        <v>FES1162691040</v>
      </c>
      <c r="C2671" s="7">
        <v>43606</v>
      </c>
      <c r="D2671" s="6">
        <v>1</v>
      </c>
      <c r="E2671" s="6">
        <v>2170689465</v>
      </c>
      <c r="F2671" s="6" t="s">
        <v>16</v>
      </c>
      <c r="G2671" s="6" t="s">
        <v>17</v>
      </c>
      <c r="H2671" s="6" t="s">
        <v>43</v>
      </c>
      <c r="I2671" s="6" t="s">
        <v>44</v>
      </c>
      <c r="J2671" s="6" t="s">
        <v>1645</v>
      </c>
      <c r="K2671" s="7">
        <v>43607</v>
      </c>
      <c r="L2671" s="8">
        <v>0.4055555555555555</v>
      </c>
      <c r="M2671" s="6" t="s">
        <v>3796</v>
      </c>
      <c r="N2671" s="6" t="s">
        <v>21</v>
      </c>
      <c r="O2671" s="6" t="s">
        <v>22</v>
      </c>
    </row>
    <row r="2672" spans="1:15" hidden="1">
      <c r="A2672" s="6" t="s">
        <v>15</v>
      </c>
      <c r="B2672" s="6" t="str">
        <f>"FES1162690981"</f>
        <v>FES1162690981</v>
      </c>
      <c r="C2672" s="7">
        <v>43606</v>
      </c>
      <c r="D2672" s="6">
        <v>1</v>
      </c>
      <c r="E2672" s="6">
        <v>2170689403</v>
      </c>
      <c r="F2672" s="6" t="s">
        <v>16</v>
      </c>
      <c r="G2672" s="6" t="s">
        <v>17</v>
      </c>
      <c r="H2672" s="6" t="s">
        <v>43</v>
      </c>
      <c r="I2672" s="6" t="s">
        <v>44</v>
      </c>
      <c r="J2672" s="6" t="s">
        <v>48</v>
      </c>
      <c r="K2672" s="7">
        <v>43607</v>
      </c>
      <c r="L2672" s="8">
        <v>0.30972222222222223</v>
      </c>
      <c r="M2672" s="6" t="s">
        <v>3253</v>
      </c>
      <c r="N2672" s="6" t="s">
        <v>21</v>
      </c>
      <c r="O2672" s="6" t="s">
        <v>22</v>
      </c>
    </row>
    <row r="2673" spans="1:15">
      <c r="A2673" s="6" t="s">
        <v>15</v>
      </c>
      <c r="B2673" s="6" t="str">
        <f>"FES1162690880"</f>
        <v>FES1162690880</v>
      </c>
      <c r="C2673" s="7">
        <v>43606</v>
      </c>
      <c r="D2673" s="6">
        <v>1</v>
      </c>
      <c r="E2673" s="6">
        <v>2170689357</v>
      </c>
      <c r="F2673" s="6" t="s">
        <v>16</v>
      </c>
      <c r="G2673" s="6" t="s">
        <v>17</v>
      </c>
      <c r="H2673" s="6" t="s">
        <v>17</v>
      </c>
      <c r="I2673" s="6" t="s">
        <v>18</v>
      </c>
      <c r="J2673" s="6" t="s">
        <v>19</v>
      </c>
      <c r="K2673" s="7">
        <v>43607</v>
      </c>
      <c r="L2673" s="8">
        <v>0.38819444444444445</v>
      </c>
      <c r="M2673" s="6" t="s">
        <v>1327</v>
      </c>
      <c r="N2673" s="6" t="s">
        <v>21</v>
      </c>
      <c r="O2673" s="6" t="s">
        <v>22</v>
      </c>
    </row>
    <row r="2674" spans="1:15" hidden="1">
      <c r="A2674" s="6" t="s">
        <v>15</v>
      </c>
      <c r="B2674" s="6" t="str">
        <f>"FES1162691053"</f>
        <v>FES1162691053</v>
      </c>
      <c r="C2674" s="7">
        <v>43606</v>
      </c>
      <c r="D2674" s="6">
        <v>1</v>
      </c>
      <c r="E2674" s="6">
        <v>2170689482</v>
      </c>
      <c r="F2674" s="6" t="s">
        <v>16</v>
      </c>
      <c r="G2674" s="6" t="s">
        <v>17</v>
      </c>
      <c r="H2674" s="6" t="s">
        <v>1507</v>
      </c>
      <c r="I2674" s="6" t="s">
        <v>421</v>
      </c>
      <c r="J2674" s="6" t="s">
        <v>1535</v>
      </c>
      <c r="K2674" s="7">
        <v>43607</v>
      </c>
      <c r="L2674" s="8">
        <v>0.33333333333333331</v>
      </c>
      <c r="M2674" s="6" t="s">
        <v>3797</v>
      </c>
      <c r="N2674" s="6" t="s">
        <v>21</v>
      </c>
      <c r="O2674" s="6" t="s">
        <v>22</v>
      </c>
    </row>
    <row r="2675" spans="1:15" hidden="1">
      <c r="A2675" s="6" t="s">
        <v>15</v>
      </c>
      <c r="B2675" s="6" t="str">
        <f>"FES1162690988"</f>
        <v>FES1162690988</v>
      </c>
      <c r="C2675" s="7">
        <v>43606</v>
      </c>
      <c r="D2675" s="6">
        <v>1</v>
      </c>
      <c r="E2675" s="6">
        <v>2170689408</v>
      </c>
      <c r="F2675" s="6" t="s">
        <v>16</v>
      </c>
      <c r="G2675" s="6" t="s">
        <v>17</v>
      </c>
      <c r="H2675" s="6" t="s">
        <v>43</v>
      </c>
      <c r="I2675" s="6" t="s">
        <v>54</v>
      </c>
      <c r="J2675" s="6" t="s">
        <v>55</v>
      </c>
      <c r="K2675" s="7">
        <v>43607</v>
      </c>
      <c r="L2675" s="8">
        <v>0.41666666666666669</v>
      </c>
      <c r="M2675" s="6" t="s">
        <v>3798</v>
      </c>
      <c r="N2675" s="6" t="s">
        <v>21</v>
      </c>
      <c r="O2675" s="6" t="s">
        <v>22</v>
      </c>
    </row>
    <row r="2676" spans="1:15" hidden="1">
      <c r="A2676" s="6" t="s">
        <v>15</v>
      </c>
      <c r="B2676" s="6" t="str">
        <f>"FES1162691039"</f>
        <v>FES1162691039</v>
      </c>
      <c r="C2676" s="7">
        <v>43606</v>
      </c>
      <c r="D2676" s="6">
        <v>1</v>
      </c>
      <c r="E2676" s="6">
        <v>2170689464</v>
      </c>
      <c r="F2676" s="6" t="s">
        <v>16</v>
      </c>
      <c r="G2676" s="6" t="s">
        <v>17</v>
      </c>
      <c r="H2676" s="6" t="s">
        <v>43</v>
      </c>
      <c r="I2676" s="6" t="s">
        <v>44</v>
      </c>
      <c r="J2676" s="6" t="s">
        <v>48</v>
      </c>
      <c r="K2676" s="7">
        <v>43607</v>
      </c>
      <c r="L2676" s="8">
        <v>0.30972222222222223</v>
      </c>
      <c r="M2676" s="6" t="s">
        <v>3253</v>
      </c>
      <c r="N2676" s="6" t="s">
        <v>21</v>
      </c>
      <c r="O2676" s="6" t="s">
        <v>22</v>
      </c>
    </row>
    <row r="2677" spans="1:15" hidden="1">
      <c r="A2677" s="6" t="s">
        <v>15</v>
      </c>
      <c r="B2677" s="6" t="str">
        <f>"FES1162691045"</f>
        <v>FES1162691045</v>
      </c>
      <c r="C2677" s="7">
        <v>43606</v>
      </c>
      <c r="D2677" s="6">
        <v>1</v>
      </c>
      <c r="E2677" s="6">
        <v>21706894703</v>
      </c>
      <c r="F2677" s="6" t="s">
        <v>16</v>
      </c>
      <c r="G2677" s="6" t="s">
        <v>17</v>
      </c>
      <c r="H2677" s="6" t="s">
        <v>43</v>
      </c>
      <c r="I2677" s="6" t="s">
        <v>738</v>
      </c>
      <c r="J2677" s="6" t="s">
        <v>739</v>
      </c>
      <c r="K2677" s="7">
        <v>43607</v>
      </c>
      <c r="L2677" s="8">
        <v>0.37152777777777773</v>
      </c>
      <c r="M2677" s="6" t="s">
        <v>740</v>
      </c>
      <c r="N2677" s="6" t="s">
        <v>21</v>
      </c>
      <c r="O2677" s="6" t="s">
        <v>22</v>
      </c>
    </row>
    <row r="2678" spans="1:15" hidden="1">
      <c r="A2678" s="6" t="s">
        <v>15</v>
      </c>
      <c r="B2678" s="6" t="str">
        <f>"FES1162691023"</f>
        <v>FES1162691023</v>
      </c>
      <c r="C2678" s="7">
        <v>43606</v>
      </c>
      <c r="D2678" s="6">
        <v>1</v>
      </c>
      <c r="E2678" s="6">
        <v>2170689442</v>
      </c>
      <c r="F2678" s="6" t="s">
        <v>16</v>
      </c>
      <c r="G2678" s="6" t="s">
        <v>17</v>
      </c>
      <c r="H2678" s="6" t="s">
        <v>43</v>
      </c>
      <c r="I2678" s="6" t="s">
        <v>44</v>
      </c>
      <c r="J2678" s="6" t="s">
        <v>742</v>
      </c>
      <c r="K2678" s="7">
        <v>43607</v>
      </c>
      <c r="L2678" s="8">
        <v>0.38263888888888892</v>
      </c>
      <c r="M2678" s="6" t="s">
        <v>1231</v>
      </c>
      <c r="N2678" s="6" t="s">
        <v>21</v>
      </c>
      <c r="O2678" s="6" t="s">
        <v>22</v>
      </c>
    </row>
    <row r="2679" spans="1:15" hidden="1">
      <c r="A2679" s="6" t="s">
        <v>15</v>
      </c>
      <c r="B2679" s="6" t="str">
        <f>"FES1162690924"</f>
        <v>FES1162690924</v>
      </c>
      <c r="C2679" s="7">
        <v>43606</v>
      </c>
      <c r="D2679" s="6">
        <v>1</v>
      </c>
      <c r="E2679" s="6">
        <v>2170687090</v>
      </c>
      <c r="F2679" s="6" t="s">
        <v>16</v>
      </c>
      <c r="G2679" s="6" t="s">
        <v>17</v>
      </c>
      <c r="H2679" s="6" t="s">
        <v>141</v>
      </c>
      <c r="I2679" s="6" t="s">
        <v>142</v>
      </c>
      <c r="J2679" s="6" t="s">
        <v>917</v>
      </c>
      <c r="K2679" s="7">
        <v>43607</v>
      </c>
      <c r="L2679" s="8">
        <v>0.31180555555555556</v>
      </c>
      <c r="M2679" s="6" t="s">
        <v>2689</v>
      </c>
      <c r="N2679" s="6" t="s">
        <v>21</v>
      </c>
      <c r="O2679" s="6" t="s">
        <v>22</v>
      </c>
    </row>
    <row r="2680" spans="1:15" hidden="1">
      <c r="A2680" s="6" t="s">
        <v>15</v>
      </c>
      <c r="B2680" s="6" t="str">
        <f>"FES1162691034"</f>
        <v>FES1162691034</v>
      </c>
      <c r="C2680" s="7">
        <v>43606</v>
      </c>
      <c r="D2680" s="6">
        <v>1</v>
      </c>
      <c r="E2680" s="6">
        <v>2170689456</v>
      </c>
      <c r="F2680" s="6" t="s">
        <v>16</v>
      </c>
      <c r="G2680" s="6" t="s">
        <v>17</v>
      </c>
      <c r="H2680" s="6" t="s">
        <v>43</v>
      </c>
      <c r="I2680" s="6" t="s">
        <v>44</v>
      </c>
      <c r="J2680" s="6" t="s">
        <v>207</v>
      </c>
      <c r="K2680" s="7">
        <v>43607</v>
      </c>
      <c r="L2680" s="8">
        <v>0.41666666666666669</v>
      </c>
      <c r="M2680" s="6" t="s">
        <v>1789</v>
      </c>
      <c r="N2680" s="6" t="s">
        <v>21</v>
      </c>
      <c r="O2680" s="6" t="s">
        <v>22</v>
      </c>
    </row>
    <row r="2681" spans="1:15">
      <c r="A2681" s="6" t="s">
        <v>15</v>
      </c>
      <c r="B2681" s="6" t="str">
        <f>"FES1162691051"</f>
        <v>FES1162691051</v>
      </c>
      <c r="C2681" s="7">
        <v>43606</v>
      </c>
      <c r="D2681" s="6">
        <v>1</v>
      </c>
      <c r="E2681" s="6">
        <v>2170689011</v>
      </c>
      <c r="F2681" s="6" t="s">
        <v>16</v>
      </c>
      <c r="G2681" s="6" t="s">
        <v>17</v>
      </c>
      <c r="H2681" s="6" t="s">
        <v>17</v>
      </c>
      <c r="I2681" s="6" t="s">
        <v>29</v>
      </c>
      <c r="J2681" s="6" t="s">
        <v>963</v>
      </c>
      <c r="K2681" s="7">
        <v>43607</v>
      </c>
      <c r="L2681" s="8">
        <v>0.33333333333333331</v>
      </c>
      <c r="M2681" s="6" t="s">
        <v>714</v>
      </c>
      <c r="N2681" s="6" t="s">
        <v>21</v>
      </c>
      <c r="O2681" s="6" t="s">
        <v>22</v>
      </c>
    </row>
    <row r="2682" spans="1:15" hidden="1">
      <c r="A2682" s="6" t="s">
        <v>15</v>
      </c>
      <c r="B2682" s="6" t="str">
        <f>"FES1162691055"</f>
        <v>FES1162691055</v>
      </c>
      <c r="C2682" s="7">
        <v>43606</v>
      </c>
      <c r="D2682" s="6">
        <v>1</v>
      </c>
      <c r="E2682" s="6">
        <v>2170689485</v>
      </c>
      <c r="F2682" s="6" t="s">
        <v>16</v>
      </c>
      <c r="G2682" s="6" t="s">
        <v>17</v>
      </c>
      <c r="H2682" s="6" t="s">
        <v>32</v>
      </c>
      <c r="I2682" s="6" t="s">
        <v>33</v>
      </c>
      <c r="J2682" s="6" t="s">
        <v>786</v>
      </c>
      <c r="K2682" s="7">
        <v>43607</v>
      </c>
      <c r="L2682" s="8">
        <v>0.41666666666666669</v>
      </c>
      <c r="M2682" s="6" t="s">
        <v>787</v>
      </c>
      <c r="N2682" s="6" t="s">
        <v>21</v>
      </c>
      <c r="O2682" s="6" t="s">
        <v>22</v>
      </c>
    </row>
    <row r="2683" spans="1:15" hidden="1">
      <c r="A2683" s="6" t="s">
        <v>15</v>
      </c>
      <c r="B2683" s="6" t="str">
        <f>"FES1162690949"</f>
        <v>FES1162690949</v>
      </c>
      <c r="C2683" s="7">
        <v>43606</v>
      </c>
      <c r="D2683" s="6">
        <v>1</v>
      </c>
      <c r="E2683" s="6">
        <v>2170687642</v>
      </c>
      <c r="F2683" s="6" t="s">
        <v>16</v>
      </c>
      <c r="G2683" s="6" t="s">
        <v>17</v>
      </c>
      <c r="H2683" s="6" t="s">
        <v>132</v>
      </c>
      <c r="I2683" s="6" t="s">
        <v>133</v>
      </c>
      <c r="J2683" s="6" t="s">
        <v>1008</v>
      </c>
      <c r="K2683" s="7">
        <v>43607</v>
      </c>
      <c r="L2683" s="8">
        <v>0.38541666666666669</v>
      </c>
      <c r="M2683" s="6" t="s">
        <v>3130</v>
      </c>
      <c r="N2683" s="6" t="s">
        <v>21</v>
      </c>
      <c r="O2683" s="6" t="s">
        <v>22</v>
      </c>
    </row>
    <row r="2684" spans="1:15" hidden="1">
      <c r="A2684" s="6" t="s">
        <v>15</v>
      </c>
      <c r="B2684" s="6" t="str">
        <f>"FES1162690868"</f>
        <v>FES1162690868</v>
      </c>
      <c r="C2684" s="7">
        <v>43606</v>
      </c>
      <c r="D2684" s="6">
        <v>1</v>
      </c>
      <c r="E2684" s="6">
        <v>2170689339</v>
      </c>
      <c r="F2684" s="6" t="s">
        <v>16</v>
      </c>
      <c r="G2684" s="6" t="s">
        <v>17</v>
      </c>
      <c r="H2684" s="6" t="s">
        <v>141</v>
      </c>
      <c r="I2684" s="6" t="s">
        <v>142</v>
      </c>
      <c r="J2684" s="6" t="s">
        <v>228</v>
      </c>
      <c r="K2684" s="7">
        <v>43607</v>
      </c>
      <c r="L2684" s="8">
        <v>0.33194444444444443</v>
      </c>
      <c r="M2684" s="6" t="s">
        <v>229</v>
      </c>
      <c r="N2684" s="6" t="s">
        <v>21</v>
      </c>
      <c r="O2684" s="6" t="s">
        <v>22</v>
      </c>
    </row>
    <row r="2685" spans="1:15" hidden="1">
      <c r="A2685" s="6" t="s">
        <v>15</v>
      </c>
      <c r="B2685" s="6" t="str">
        <f>"FES1162690937"</f>
        <v>FES1162690937</v>
      </c>
      <c r="C2685" s="7">
        <v>43606</v>
      </c>
      <c r="D2685" s="6">
        <v>1</v>
      </c>
      <c r="E2685" s="6">
        <v>217687412</v>
      </c>
      <c r="F2685" s="6" t="s">
        <v>16</v>
      </c>
      <c r="G2685" s="6" t="s">
        <v>17</v>
      </c>
      <c r="H2685" s="6" t="s">
        <v>141</v>
      </c>
      <c r="I2685" s="6" t="s">
        <v>854</v>
      </c>
      <c r="J2685" s="6" t="s">
        <v>2191</v>
      </c>
      <c r="K2685" s="7">
        <v>43607</v>
      </c>
      <c r="L2685" s="8">
        <v>0.38541666666666669</v>
      </c>
      <c r="M2685" s="6" t="s">
        <v>3743</v>
      </c>
      <c r="N2685" s="6" t="s">
        <v>21</v>
      </c>
      <c r="O2685" s="6" t="s">
        <v>22</v>
      </c>
    </row>
    <row r="2686" spans="1:15" hidden="1">
      <c r="A2686" s="6" t="s">
        <v>15</v>
      </c>
      <c r="B2686" s="6" t="str">
        <f>"FES1162690964"</f>
        <v>FES1162690964</v>
      </c>
      <c r="C2686" s="7">
        <v>43606</v>
      </c>
      <c r="D2686" s="6">
        <v>1</v>
      </c>
      <c r="E2686" s="6">
        <v>2170688409</v>
      </c>
      <c r="F2686" s="6" t="s">
        <v>16</v>
      </c>
      <c r="G2686" s="6" t="s">
        <v>17</v>
      </c>
      <c r="H2686" s="6" t="s">
        <v>32</v>
      </c>
      <c r="I2686" s="6" t="s">
        <v>33</v>
      </c>
      <c r="J2686" s="6" t="s">
        <v>843</v>
      </c>
      <c r="K2686" s="7">
        <v>43607</v>
      </c>
      <c r="L2686" s="8">
        <v>0.4201388888888889</v>
      </c>
      <c r="M2686" s="6" t="s">
        <v>3799</v>
      </c>
      <c r="N2686" s="6" t="s">
        <v>21</v>
      </c>
      <c r="O2686" s="6" t="s">
        <v>22</v>
      </c>
    </row>
    <row r="2687" spans="1:15">
      <c r="A2687" s="6" t="s">
        <v>15</v>
      </c>
      <c r="B2687" s="6" t="str">
        <f>"FES1162691036"</f>
        <v>FES1162691036</v>
      </c>
      <c r="C2687" s="7">
        <v>43606</v>
      </c>
      <c r="D2687" s="6">
        <v>1</v>
      </c>
      <c r="E2687" s="6">
        <v>2170689457</v>
      </c>
      <c r="F2687" s="6" t="s">
        <v>16</v>
      </c>
      <c r="G2687" s="6" t="s">
        <v>17</v>
      </c>
      <c r="H2687" s="6" t="s">
        <v>17</v>
      </c>
      <c r="I2687" s="6" t="s">
        <v>64</v>
      </c>
      <c r="J2687" s="6" t="s">
        <v>116</v>
      </c>
      <c r="K2687" s="7">
        <v>43607</v>
      </c>
      <c r="L2687" s="8">
        <v>0.4375</v>
      </c>
      <c r="M2687" s="6" t="s">
        <v>152</v>
      </c>
      <c r="N2687" s="6" t="s">
        <v>21</v>
      </c>
      <c r="O2687" s="6" t="s">
        <v>22</v>
      </c>
    </row>
    <row r="2688" spans="1:15" hidden="1">
      <c r="A2688" s="6" t="s">
        <v>15</v>
      </c>
      <c r="B2688" s="6" t="str">
        <f>"FES1162690870"</f>
        <v>FES1162690870</v>
      </c>
      <c r="C2688" s="7">
        <v>43606</v>
      </c>
      <c r="D2688" s="6">
        <v>1</v>
      </c>
      <c r="E2688" s="6">
        <v>2170689345</v>
      </c>
      <c r="F2688" s="6" t="s">
        <v>16</v>
      </c>
      <c r="G2688" s="6" t="s">
        <v>17</v>
      </c>
      <c r="H2688" s="6" t="s">
        <v>141</v>
      </c>
      <c r="I2688" s="6" t="s">
        <v>185</v>
      </c>
      <c r="J2688" s="6" t="s">
        <v>1499</v>
      </c>
      <c r="K2688" s="7">
        <v>43607</v>
      </c>
      <c r="L2688" s="8">
        <v>0.41250000000000003</v>
      </c>
      <c r="M2688" s="6" t="s">
        <v>1500</v>
      </c>
      <c r="N2688" s="6" t="s">
        <v>21</v>
      </c>
      <c r="O2688" s="6" t="s">
        <v>22</v>
      </c>
    </row>
    <row r="2689" spans="1:15" hidden="1">
      <c r="A2689" s="6" t="s">
        <v>15</v>
      </c>
      <c r="B2689" s="6" t="str">
        <f>"FES1162690869"</f>
        <v>FES1162690869</v>
      </c>
      <c r="C2689" s="7">
        <v>43606</v>
      </c>
      <c r="D2689" s="6">
        <v>1</v>
      </c>
      <c r="E2689" s="6">
        <v>2170689344</v>
      </c>
      <c r="F2689" s="6" t="s">
        <v>16</v>
      </c>
      <c r="G2689" s="6" t="s">
        <v>17</v>
      </c>
      <c r="H2689" s="6" t="s">
        <v>141</v>
      </c>
      <c r="I2689" s="6" t="s">
        <v>854</v>
      </c>
      <c r="J2689" s="6" t="s">
        <v>578</v>
      </c>
      <c r="K2689" s="7">
        <v>43607</v>
      </c>
      <c r="L2689" s="8">
        <v>0.38611111111111113</v>
      </c>
      <c r="M2689" s="6" t="s">
        <v>3743</v>
      </c>
      <c r="N2689" s="6" t="s">
        <v>21</v>
      </c>
      <c r="O2689" s="6" t="s">
        <v>22</v>
      </c>
    </row>
    <row r="2690" spans="1:15">
      <c r="A2690" s="6" t="s">
        <v>15</v>
      </c>
      <c r="B2690" s="6" t="str">
        <f>"FES1162690945"</f>
        <v>FES1162690945</v>
      </c>
      <c r="C2690" s="7">
        <v>43606</v>
      </c>
      <c r="D2690" s="6">
        <v>1</v>
      </c>
      <c r="E2690" s="6">
        <v>2170687571</v>
      </c>
      <c r="F2690" s="6" t="s">
        <v>16</v>
      </c>
      <c r="G2690" s="6" t="s">
        <v>17</v>
      </c>
      <c r="H2690" s="6" t="s">
        <v>17</v>
      </c>
      <c r="I2690" s="6" t="s">
        <v>18</v>
      </c>
      <c r="J2690" s="6" t="s">
        <v>114</v>
      </c>
      <c r="K2690" s="7">
        <v>43607</v>
      </c>
      <c r="L2690" s="8">
        <v>0.4055555555555555</v>
      </c>
      <c r="M2690" s="6" t="s">
        <v>3800</v>
      </c>
      <c r="N2690" s="6" t="s">
        <v>21</v>
      </c>
      <c r="O2690" s="6" t="s">
        <v>22</v>
      </c>
    </row>
    <row r="2691" spans="1:15">
      <c r="A2691" s="6" t="s">
        <v>15</v>
      </c>
      <c r="B2691" s="6" t="str">
        <f>"FES1162691043"</f>
        <v>FES1162691043</v>
      </c>
      <c r="C2691" s="7">
        <v>43606</v>
      </c>
      <c r="D2691" s="6">
        <v>1</v>
      </c>
      <c r="E2691" s="6">
        <v>2170689458</v>
      </c>
      <c r="F2691" s="6" t="s">
        <v>16</v>
      </c>
      <c r="G2691" s="6" t="s">
        <v>17</v>
      </c>
      <c r="H2691" s="6" t="s">
        <v>17</v>
      </c>
      <c r="I2691" s="6" t="s">
        <v>610</v>
      </c>
      <c r="J2691" s="6" t="s">
        <v>611</v>
      </c>
      <c r="K2691" s="7">
        <v>43607</v>
      </c>
      <c r="L2691" s="8">
        <v>0.33333333333333331</v>
      </c>
      <c r="M2691" s="6" t="s">
        <v>3801</v>
      </c>
      <c r="N2691" s="6" t="s">
        <v>21</v>
      </c>
      <c r="O2691" s="6" t="s">
        <v>22</v>
      </c>
    </row>
    <row r="2692" spans="1:15" hidden="1">
      <c r="A2692" s="6" t="s">
        <v>15</v>
      </c>
      <c r="B2692" s="6" t="str">
        <f>"FES1162690815"</f>
        <v>FES1162690815</v>
      </c>
      <c r="C2692" s="7">
        <v>43606</v>
      </c>
      <c r="D2692" s="6">
        <v>1</v>
      </c>
      <c r="E2692" s="6">
        <v>2170688911</v>
      </c>
      <c r="F2692" s="6" t="s">
        <v>1433</v>
      </c>
      <c r="G2692" s="6" t="s">
        <v>17</v>
      </c>
      <c r="H2692" s="6" t="s">
        <v>290</v>
      </c>
      <c r="I2692" s="6" t="s">
        <v>309</v>
      </c>
      <c r="J2692" s="6" t="s">
        <v>3802</v>
      </c>
      <c r="K2692" s="7">
        <v>43607</v>
      </c>
      <c r="L2692" s="8">
        <v>0.41666666666666669</v>
      </c>
      <c r="M2692" s="6" t="s">
        <v>3803</v>
      </c>
      <c r="N2692" s="6" t="s">
        <v>21</v>
      </c>
      <c r="O2692" s="6" t="s">
        <v>494</v>
      </c>
    </row>
    <row r="2693" spans="1:15" hidden="1">
      <c r="A2693" s="6" t="s">
        <v>15</v>
      </c>
      <c r="B2693" s="6" t="str">
        <f>"FES1162690900"</f>
        <v>FES1162690900</v>
      </c>
      <c r="C2693" s="7">
        <v>43606</v>
      </c>
      <c r="D2693" s="6">
        <v>1</v>
      </c>
      <c r="E2693" s="6">
        <v>2170687821</v>
      </c>
      <c r="F2693" s="6" t="s">
        <v>16</v>
      </c>
      <c r="G2693" s="6" t="s">
        <v>17</v>
      </c>
      <c r="H2693" s="6" t="s">
        <v>141</v>
      </c>
      <c r="I2693" s="6" t="s">
        <v>142</v>
      </c>
      <c r="J2693" s="6" t="s">
        <v>864</v>
      </c>
      <c r="K2693" s="7">
        <v>43607</v>
      </c>
      <c r="L2693" s="8">
        <v>0.32916666666666666</v>
      </c>
      <c r="M2693" s="6" t="s">
        <v>3234</v>
      </c>
      <c r="N2693" s="6" t="s">
        <v>21</v>
      </c>
      <c r="O2693" s="6" t="s">
        <v>22</v>
      </c>
    </row>
    <row r="2694" spans="1:15" hidden="1">
      <c r="A2694" s="6" t="s">
        <v>15</v>
      </c>
      <c r="B2694" s="6" t="str">
        <f>"FES1162690931"</f>
        <v>FES1162690931</v>
      </c>
      <c r="C2694" s="7">
        <v>43606</v>
      </c>
      <c r="D2694" s="6">
        <v>1</v>
      </c>
      <c r="E2694" s="6">
        <v>2170687262</v>
      </c>
      <c r="F2694" s="6" t="s">
        <v>16</v>
      </c>
      <c r="G2694" s="6" t="s">
        <v>17</v>
      </c>
      <c r="H2694" s="6" t="s">
        <v>141</v>
      </c>
      <c r="I2694" s="6" t="s">
        <v>142</v>
      </c>
      <c r="J2694" s="6" t="s">
        <v>1411</v>
      </c>
      <c r="K2694" s="7">
        <v>43607</v>
      </c>
      <c r="L2694" s="8">
        <v>0.39861111111111108</v>
      </c>
      <c r="M2694" s="6" t="s">
        <v>3080</v>
      </c>
      <c r="N2694" s="6" t="s">
        <v>21</v>
      </c>
      <c r="O2694" s="6" t="s">
        <v>22</v>
      </c>
    </row>
    <row r="2695" spans="1:15" hidden="1">
      <c r="A2695" s="6" t="s">
        <v>15</v>
      </c>
      <c r="B2695" s="6" t="str">
        <f>"FES1162690908"</f>
        <v>FES1162690908</v>
      </c>
      <c r="C2695" s="7">
        <v>43606</v>
      </c>
      <c r="D2695" s="6">
        <v>1</v>
      </c>
      <c r="E2695" s="6">
        <v>2170687929</v>
      </c>
      <c r="F2695" s="6" t="s">
        <v>16</v>
      </c>
      <c r="G2695" s="6" t="s">
        <v>17</v>
      </c>
      <c r="H2695" s="6" t="s">
        <v>141</v>
      </c>
      <c r="I2695" s="6" t="s">
        <v>142</v>
      </c>
      <c r="J2695" s="6" t="s">
        <v>213</v>
      </c>
      <c r="K2695" s="7">
        <v>43607</v>
      </c>
      <c r="L2695" s="8">
        <v>0.3576388888888889</v>
      </c>
      <c r="M2695" s="6" t="s">
        <v>214</v>
      </c>
      <c r="N2695" s="6" t="s">
        <v>21</v>
      </c>
      <c r="O2695" s="6" t="s">
        <v>22</v>
      </c>
    </row>
    <row r="2696" spans="1:15" hidden="1">
      <c r="A2696" s="6" t="s">
        <v>15</v>
      </c>
      <c r="B2696" s="6" t="str">
        <f>"FES1162690862"</f>
        <v>FES1162690862</v>
      </c>
      <c r="C2696" s="7">
        <v>43606</v>
      </c>
      <c r="D2696" s="6">
        <v>1</v>
      </c>
      <c r="E2696" s="6">
        <v>2170689332</v>
      </c>
      <c r="F2696" s="6" t="s">
        <v>16</v>
      </c>
      <c r="G2696" s="6" t="s">
        <v>17</v>
      </c>
      <c r="H2696" s="6" t="s">
        <v>141</v>
      </c>
      <c r="I2696" s="6" t="s">
        <v>185</v>
      </c>
      <c r="J2696" s="6" t="s">
        <v>461</v>
      </c>
      <c r="K2696" s="7">
        <v>43607</v>
      </c>
      <c r="L2696" s="8">
        <v>0.43472222222222223</v>
      </c>
      <c r="M2696" s="6" t="s">
        <v>416</v>
      </c>
      <c r="N2696" s="6" t="s">
        <v>21</v>
      </c>
      <c r="O2696" s="6" t="s">
        <v>22</v>
      </c>
    </row>
    <row r="2697" spans="1:15" hidden="1">
      <c r="A2697" s="6" t="s">
        <v>15</v>
      </c>
      <c r="B2697" s="6" t="str">
        <f>"FES1162691044"</f>
        <v>FES1162691044</v>
      </c>
      <c r="C2697" s="7">
        <v>43606</v>
      </c>
      <c r="D2697" s="6">
        <v>1</v>
      </c>
      <c r="E2697" s="6">
        <v>2170689469</v>
      </c>
      <c r="F2697" s="6" t="s">
        <v>16</v>
      </c>
      <c r="G2697" s="6" t="s">
        <v>17</v>
      </c>
      <c r="H2697" s="6" t="s">
        <v>43</v>
      </c>
      <c r="I2697" s="6" t="s">
        <v>54</v>
      </c>
      <c r="J2697" s="6" t="s">
        <v>216</v>
      </c>
      <c r="K2697" s="7">
        <v>43607</v>
      </c>
      <c r="L2697" s="8">
        <v>0.41666666666666669</v>
      </c>
      <c r="M2697" s="6" t="s">
        <v>1443</v>
      </c>
      <c r="N2697" s="6" t="s">
        <v>21</v>
      </c>
      <c r="O2697" s="6" t="s">
        <v>22</v>
      </c>
    </row>
    <row r="2698" spans="1:15" hidden="1">
      <c r="A2698" s="6" t="s">
        <v>15</v>
      </c>
      <c r="B2698" s="6" t="str">
        <f>"FES1162690957"</f>
        <v>FES1162690957</v>
      </c>
      <c r="C2698" s="7">
        <v>43606</v>
      </c>
      <c r="D2698" s="6">
        <v>1</v>
      </c>
      <c r="E2698" s="6">
        <v>2170689378</v>
      </c>
      <c r="F2698" s="6" t="s">
        <v>16</v>
      </c>
      <c r="G2698" s="6" t="s">
        <v>17</v>
      </c>
      <c r="H2698" s="6" t="s">
        <v>32</v>
      </c>
      <c r="I2698" s="6" t="s">
        <v>33</v>
      </c>
      <c r="J2698" s="6" t="s">
        <v>2108</v>
      </c>
      <c r="K2698" s="7">
        <v>43607</v>
      </c>
      <c r="L2698" s="8">
        <v>0.36319444444444443</v>
      </c>
      <c r="M2698" s="6" t="s">
        <v>3804</v>
      </c>
      <c r="N2698" s="6" t="s">
        <v>21</v>
      </c>
      <c r="O2698" s="6" t="s">
        <v>22</v>
      </c>
    </row>
    <row r="2699" spans="1:15" hidden="1">
      <c r="A2699" s="6" t="s">
        <v>15</v>
      </c>
      <c r="B2699" s="6" t="str">
        <f>"FES1162690861"</f>
        <v>FES1162690861</v>
      </c>
      <c r="C2699" s="7">
        <v>43606</v>
      </c>
      <c r="D2699" s="6">
        <v>1</v>
      </c>
      <c r="E2699" s="6">
        <v>2170689330</v>
      </c>
      <c r="F2699" s="6" t="s">
        <v>16</v>
      </c>
      <c r="G2699" s="6" t="s">
        <v>17</v>
      </c>
      <c r="H2699" s="6" t="s">
        <v>141</v>
      </c>
      <c r="I2699" s="6" t="s">
        <v>142</v>
      </c>
      <c r="J2699" s="6" t="s">
        <v>213</v>
      </c>
      <c r="K2699" s="7">
        <v>43607</v>
      </c>
      <c r="L2699" s="8">
        <v>0.35694444444444445</v>
      </c>
      <c r="M2699" s="6" t="s">
        <v>214</v>
      </c>
      <c r="N2699" s="6" t="s">
        <v>21</v>
      </c>
      <c r="O2699" s="6" t="s">
        <v>22</v>
      </c>
    </row>
    <row r="2700" spans="1:15">
      <c r="A2700" s="6" t="s">
        <v>15</v>
      </c>
      <c r="B2700" s="6" t="str">
        <f>"FES1162690816"</f>
        <v>FES1162690816</v>
      </c>
      <c r="C2700" s="7">
        <v>43606</v>
      </c>
      <c r="D2700" s="6">
        <v>1</v>
      </c>
      <c r="E2700" s="6">
        <v>2170688918</v>
      </c>
      <c r="F2700" s="6" t="s">
        <v>16</v>
      </c>
      <c r="G2700" s="6" t="s">
        <v>17</v>
      </c>
      <c r="H2700" s="6" t="s">
        <v>17</v>
      </c>
      <c r="I2700" s="6" t="s">
        <v>64</v>
      </c>
      <c r="J2700" s="6" t="s">
        <v>3805</v>
      </c>
      <c r="K2700" s="7">
        <v>43607</v>
      </c>
      <c r="L2700" s="8">
        <v>0.41944444444444445</v>
      </c>
      <c r="M2700" s="6" t="s">
        <v>3806</v>
      </c>
      <c r="N2700" s="6" t="s">
        <v>21</v>
      </c>
      <c r="O2700" s="6" t="s">
        <v>22</v>
      </c>
    </row>
    <row r="2701" spans="1:15" hidden="1">
      <c r="A2701" s="6" t="s">
        <v>15</v>
      </c>
      <c r="B2701" s="6" t="str">
        <f>"FES1162690922"</f>
        <v>FES1162690922</v>
      </c>
      <c r="C2701" s="7">
        <v>43606</v>
      </c>
      <c r="D2701" s="6">
        <v>1</v>
      </c>
      <c r="E2701" s="6">
        <v>2170687050</v>
      </c>
      <c r="F2701" s="6" t="s">
        <v>16</v>
      </c>
      <c r="G2701" s="6" t="s">
        <v>17</v>
      </c>
      <c r="H2701" s="6" t="s">
        <v>141</v>
      </c>
      <c r="I2701" s="6" t="s">
        <v>142</v>
      </c>
      <c r="J2701" s="6" t="s">
        <v>228</v>
      </c>
      <c r="K2701" s="7">
        <v>43607</v>
      </c>
      <c r="L2701" s="8">
        <v>0.33194444444444443</v>
      </c>
      <c r="M2701" s="6" t="s">
        <v>229</v>
      </c>
      <c r="N2701" s="6" t="s">
        <v>21</v>
      </c>
      <c r="O2701" s="6" t="s">
        <v>22</v>
      </c>
    </row>
    <row r="2702" spans="1:15" hidden="1">
      <c r="A2702" s="6" t="s">
        <v>15</v>
      </c>
      <c r="B2702" s="6" t="str">
        <f>"FES1162690918"</f>
        <v>FES1162690918</v>
      </c>
      <c r="C2702" s="7">
        <v>43606</v>
      </c>
      <c r="D2702" s="6">
        <v>1</v>
      </c>
      <c r="E2702" s="6">
        <v>2170689363</v>
      </c>
      <c r="F2702" s="6" t="s">
        <v>16</v>
      </c>
      <c r="G2702" s="6" t="s">
        <v>17</v>
      </c>
      <c r="H2702" s="6" t="s">
        <v>141</v>
      </c>
      <c r="I2702" s="6" t="s">
        <v>142</v>
      </c>
      <c r="J2702" s="6" t="s">
        <v>213</v>
      </c>
      <c r="K2702" s="7">
        <v>43607</v>
      </c>
      <c r="L2702" s="8">
        <v>0.35694444444444445</v>
      </c>
      <c r="M2702" s="6" t="s">
        <v>214</v>
      </c>
      <c r="N2702" s="6" t="s">
        <v>21</v>
      </c>
      <c r="O2702" s="6" t="s">
        <v>22</v>
      </c>
    </row>
    <row r="2703" spans="1:15" hidden="1">
      <c r="A2703" s="6" t="s">
        <v>15</v>
      </c>
      <c r="B2703" s="6" t="str">
        <f>"FES1162690973"</f>
        <v>FES1162690973</v>
      </c>
      <c r="C2703" s="7">
        <v>43606</v>
      </c>
      <c r="D2703" s="6">
        <v>1</v>
      </c>
      <c r="E2703" s="6">
        <v>2170689391</v>
      </c>
      <c r="F2703" s="6" t="s">
        <v>16</v>
      </c>
      <c r="G2703" s="6" t="s">
        <v>17</v>
      </c>
      <c r="H2703" s="6" t="s">
        <v>141</v>
      </c>
      <c r="I2703" s="6" t="s">
        <v>185</v>
      </c>
      <c r="J2703" s="6" t="s">
        <v>192</v>
      </c>
      <c r="K2703" s="7">
        <v>43607</v>
      </c>
      <c r="L2703" s="8">
        <v>0.4826388888888889</v>
      </c>
      <c r="M2703" s="6" t="s">
        <v>193</v>
      </c>
      <c r="N2703" s="6" t="s">
        <v>21</v>
      </c>
      <c r="O2703" s="6" t="s">
        <v>22</v>
      </c>
    </row>
    <row r="2704" spans="1:15">
      <c r="A2704" s="6" t="s">
        <v>15</v>
      </c>
      <c r="B2704" s="6" t="str">
        <f>"FES1162690811"</f>
        <v>FES1162690811</v>
      </c>
      <c r="C2704" s="7">
        <v>43606</v>
      </c>
      <c r="D2704" s="6">
        <v>1</v>
      </c>
      <c r="E2704" s="6">
        <v>2170688608</v>
      </c>
      <c r="F2704" s="6" t="s">
        <v>16</v>
      </c>
      <c r="G2704" s="6" t="s">
        <v>17</v>
      </c>
      <c r="H2704" s="6" t="s">
        <v>17</v>
      </c>
      <c r="I2704" s="6" t="s">
        <v>103</v>
      </c>
      <c r="J2704" s="6" t="s">
        <v>2681</v>
      </c>
      <c r="K2704" s="7">
        <v>43607</v>
      </c>
      <c r="L2704" s="8">
        <v>0.36458333333333331</v>
      </c>
      <c r="M2704" s="6" t="s">
        <v>3807</v>
      </c>
      <c r="N2704" s="6" t="s">
        <v>21</v>
      </c>
      <c r="O2704" s="6" t="s">
        <v>22</v>
      </c>
    </row>
    <row r="2705" spans="1:15" hidden="1">
      <c r="A2705" s="6" t="s">
        <v>15</v>
      </c>
      <c r="B2705" s="6" t="str">
        <f>"FES1162690969"</f>
        <v>FES1162690969</v>
      </c>
      <c r="C2705" s="7">
        <v>43606</v>
      </c>
      <c r="D2705" s="6">
        <v>1</v>
      </c>
      <c r="E2705" s="6">
        <v>2170689383</v>
      </c>
      <c r="F2705" s="6" t="s">
        <v>16</v>
      </c>
      <c r="G2705" s="6" t="s">
        <v>17</v>
      </c>
      <c r="H2705" s="6" t="s">
        <v>141</v>
      </c>
      <c r="I2705" s="6" t="s">
        <v>448</v>
      </c>
      <c r="J2705" s="6" t="s">
        <v>449</v>
      </c>
      <c r="K2705" s="7">
        <v>43607</v>
      </c>
      <c r="L2705" s="8">
        <v>0.36944444444444446</v>
      </c>
      <c r="M2705" s="6" t="s">
        <v>1182</v>
      </c>
      <c r="N2705" s="6" t="s">
        <v>21</v>
      </c>
      <c r="O2705" s="6" t="s">
        <v>22</v>
      </c>
    </row>
    <row r="2706" spans="1:15">
      <c r="A2706" s="6" t="s">
        <v>15</v>
      </c>
      <c r="B2706" s="6" t="str">
        <f>"FES1162690895"</f>
        <v>FES1162690895</v>
      </c>
      <c r="C2706" s="7">
        <v>43606</v>
      </c>
      <c r="D2706" s="6">
        <v>1</v>
      </c>
      <c r="E2706" s="6">
        <v>2170687771</v>
      </c>
      <c r="F2706" s="6" t="s">
        <v>16</v>
      </c>
      <c r="G2706" s="6" t="s">
        <v>17</v>
      </c>
      <c r="H2706" s="6" t="s">
        <v>17</v>
      </c>
      <c r="I2706" s="6" t="s">
        <v>81</v>
      </c>
      <c r="J2706" s="6" t="s">
        <v>3808</v>
      </c>
      <c r="K2706" s="7">
        <v>43607</v>
      </c>
      <c r="L2706" s="8">
        <v>0.35833333333333334</v>
      </c>
      <c r="M2706" s="6" t="s">
        <v>3809</v>
      </c>
      <c r="N2706" s="6" t="s">
        <v>21</v>
      </c>
      <c r="O2706" s="6" t="s">
        <v>22</v>
      </c>
    </row>
    <row r="2707" spans="1:15">
      <c r="A2707" s="6" t="s">
        <v>15</v>
      </c>
      <c r="B2707" s="6" t="str">
        <f>"FES1162690882"</f>
        <v>FES1162690882</v>
      </c>
      <c r="C2707" s="7">
        <v>43606</v>
      </c>
      <c r="D2707" s="6">
        <v>1</v>
      </c>
      <c r="E2707" s="6">
        <v>2170683967</v>
      </c>
      <c r="F2707" s="6" t="s">
        <v>16</v>
      </c>
      <c r="G2707" s="6" t="s">
        <v>17</v>
      </c>
      <c r="H2707" s="6" t="s">
        <v>17</v>
      </c>
      <c r="I2707" s="6" t="s">
        <v>18</v>
      </c>
      <c r="J2707" s="6" t="s">
        <v>2820</v>
      </c>
      <c r="K2707" s="7">
        <v>43607</v>
      </c>
      <c r="L2707" s="8">
        <v>0.34583333333333338</v>
      </c>
      <c r="M2707" s="6" t="s">
        <v>3810</v>
      </c>
      <c r="N2707" s="6" t="s">
        <v>21</v>
      </c>
      <c r="O2707" s="6" t="s">
        <v>22</v>
      </c>
    </row>
    <row r="2708" spans="1:15">
      <c r="A2708" s="6" t="s">
        <v>15</v>
      </c>
      <c r="B2708" s="6" t="str">
        <f>"FES1162690800"</f>
        <v>FES1162690800</v>
      </c>
      <c r="C2708" s="7">
        <v>43606</v>
      </c>
      <c r="D2708" s="6">
        <v>1</v>
      </c>
      <c r="E2708" s="6">
        <v>2170687571</v>
      </c>
      <c r="F2708" s="6" t="s">
        <v>16</v>
      </c>
      <c r="G2708" s="6" t="s">
        <v>17</v>
      </c>
      <c r="H2708" s="6" t="s">
        <v>17</v>
      </c>
      <c r="I2708" s="6" t="s">
        <v>18</v>
      </c>
      <c r="J2708" s="6" t="s">
        <v>114</v>
      </c>
      <c r="K2708" s="7">
        <v>43607</v>
      </c>
      <c r="L2708" s="8">
        <v>0.4055555555555555</v>
      </c>
      <c r="M2708" s="6" t="s">
        <v>481</v>
      </c>
      <c r="N2708" s="6" t="s">
        <v>21</v>
      </c>
      <c r="O2708" s="6" t="s">
        <v>22</v>
      </c>
    </row>
    <row r="2709" spans="1:15" hidden="1">
      <c r="A2709" s="6" t="s">
        <v>15</v>
      </c>
      <c r="B2709" s="6" t="str">
        <f>"FES1162690972"</f>
        <v>FES1162690972</v>
      </c>
      <c r="C2709" s="7">
        <v>43606</v>
      </c>
      <c r="D2709" s="6">
        <v>1</v>
      </c>
      <c r="E2709" s="6">
        <v>2170689386</v>
      </c>
      <c r="F2709" s="6" t="s">
        <v>16</v>
      </c>
      <c r="G2709" s="6" t="s">
        <v>17</v>
      </c>
      <c r="H2709" s="6" t="s">
        <v>43</v>
      </c>
      <c r="I2709" s="6" t="s">
        <v>75</v>
      </c>
      <c r="J2709" s="6" t="s">
        <v>222</v>
      </c>
      <c r="K2709" s="7">
        <v>43607</v>
      </c>
      <c r="L2709" s="8">
        <v>0.44027777777777777</v>
      </c>
      <c r="M2709" s="6" t="s">
        <v>88</v>
      </c>
      <c r="N2709" s="6" t="s">
        <v>21</v>
      </c>
      <c r="O2709" s="6" t="s">
        <v>22</v>
      </c>
    </row>
    <row r="2710" spans="1:15" hidden="1">
      <c r="A2710" s="6" t="s">
        <v>15</v>
      </c>
      <c r="B2710" s="6" t="str">
        <f>"FES1162690923"</f>
        <v>FES1162690923</v>
      </c>
      <c r="C2710" s="7">
        <v>43606</v>
      </c>
      <c r="D2710" s="6">
        <v>1</v>
      </c>
      <c r="E2710" s="6">
        <v>2170687083</v>
      </c>
      <c r="F2710" s="6" t="s">
        <v>16</v>
      </c>
      <c r="G2710" s="6" t="s">
        <v>17</v>
      </c>
      <c r="H2710" s="6" t="s">
        <v>141</v>
      </c>
      <c r="I2710" s="6" t="s">
        <v>142</v>
      </c>
      <c r="J2710" s="6" t="s">
        <v>895</v>
      </c>
      <c r="K2710" s="7">
        <v>43607</v>
      </c>
      <c r="L2710" s="8">
        <v>0.39305555555555555</v>
      </c>
      <c r="M2710" s="6" t="s">
        <v>896</v>
      </c>
      <c r="N2710" s="6" t="s">
        <v>21</v>
      </c>
      <c r="O2710" s="6" t="s">
        <v>22</v>
      </c>
    </row>
    <row r="2711" spans="1:15" hidden="1">
      <c r="A2711" s="6" t="s">
        <v>15</v>
      </c>
      <c r="B2711" s="6" t="str">
        <f>"FES1162691074"</f>
        <v>FES1162691074</v>
      </c>
      <c r="C2711" s="7">
        <v>43606</v>
      </c>
      <c r="D2711" s="6">
        <v>1</v>
      </c>
      <c r="E2711" s="6">
        <v>2170689501</v>
      </c>
      <c r="F2711" s="6" t="s">
        <v>16</v>
      </c>
      <c r="G2711" s="6" t="s">
        <v>17</v>
      </c>
      <c r="H2711" s="6" t="s">
        <v>37</v>
      </c>
      <c r="I2711" s="6" t="s">
        <v>38</v>
      </c>
      <c r="J2711" s="6" t="s">
        <v>39</v>
      </c>
      <c r="K2711" s="7">
        <v>43607</v>
      </c>
      <c r="L2711" s="8">
        <v>0.37222222222222223</v>
      </c>
      <c r="M2711" s="6" t="s">
        <v>40</v>
      </c>
      <c r="N2711" s="6" t="s">
        <v>21</v>
      </c>
      <c r="O2711" s="6" t="s">
        <v>22</v>
      </c>
    </row>
    <row r="2712" spans="1:15" hidden="1">
      <c r="A2712" s="6" t="s">
        <v>15</v>
      </c>
      <c r="B2712" s="6" t="str">
        <f>"FES1162691099"</f>
        <v>FES1162691099</v>
      </c>
      <c r="C2712" s="7">
        <v>43606</v>
      </c>
      <c r="D2712" s="6">
        <v>1</v>
      </c>
      <c r="E2712" s="6">
        <v>2170689537</v>
      </c>
      <c r="F2712" s="6" t="s">
        <v>16</v>
      </c>
      <c r="G2712" s="6" t="s">
        <v>17</v>
      </c>
      <c r="H2712" s="6" t="s">
        <v>32</v>
      </c>
      <c r="I2712" s="6" t="s">
        <v>33</v>
      </c>
      <c r="J2712" s="6" t="s">
        <v>3811</v>
      </c>
      <c r="K2712" s="7">
        <v>43607</v>
      </c>
      <c r="L2712" s="8">
        <v>0.38541666666666669</v>
      </c>
      <c r="M2712" s="6" t="s">
        <v>3812</v>
      </c>
      <c r="N2712" s="6" t="s">
        <v>21</v>
      </c>
      <c r="O2712" s="6" t="s">
        <v>22</v>
      </c>
    </row>
    <row r="2713" spans="1:15" hidden="1">
      <c r="A2713" s="6" t="s">
        <v>15</v>
      </c>
      <c r="B2713" s="6" t="str">
        <f>"FES1162691100"</f>
        <v>FES1162691100</v>
      </c>
      <c r="C2713" s="7">
        <v>43606</v>
      </c>
      <c r="D2713" s="6">
        <v>1</v>
      </c>
      <c r="E2713" s="6">
        <v>2170689539</v>
      </c>
      <c r="F2713" s="6" t="s">
        <v>16</v>
      </c>
      <c r="G2713" s="6" t="s">
        <v>17</v>
      </c>
      <c r="H2713" s="6" t="s">
        <v>32</v>
      </c>
      <c r="I2713" s="6" t="s">
        <v>33</v>
      </c>
      <c r="J2713" s="6" t="s">
        <v>357</v>
      </c>
      <c r="K2713" s="7">
        <v>43607</v>
      </c>
      <c r="L2713" s="8">
        <v>0.35069444444444442</v>
      </c>
      <c r="M2713" s="6" t="s">
        <v>1051</v>
      </c>
      <c r="N2713" s="6" t="s">
        <v>21</v>
      </c>
      <c r="O2713" s="6" t="s">
        <v>22</v>
      </c>
    </row>
    <row r="2714" spans="1:15" hidden="1">
      <c r="A2714" s="6" t="s">
        <v>15</v>
      </c>
      <c r="B2714" s="6" t="str">
        <f>"FES1162691101"</f>
        <v>FES1162691101</v>
      </c>
      <c r="C2714" s="7">
        <v>43606</v>
      </c>
      <c r="D2714" s="6">
        <v>1</v>
      </c>
      <c r="E2714" s="6">
        <v>2170689540</v>
      </c>
      <c r="F2714" s="6" t="s">
        <v>16</v>
      </c>
      <c r="G2714" s="6" t="s">
        <v>17</v>
      </c>
      <c r="H2714" s="6" t="s">
        <v>32</v>
      </c>
      <c r="I2714" s="6" t="s">
        <v>269</v>
      </c>
      <c r="J2714" s="6" t="s">
        <v>270</v>
      </c>
      <c r="K2714" s="7">
        <v>43607</v>
      </c>
      <c r="L2714" s="8">
        <v>0.34027777777777773</v>
      </c>
      <c r="M2714" s="6" t="s">
        <v>271</v>
      </c>
      <c r="N2714" s="6" t="s">
        <v>21</v>
      </c>
      <c r="O2714" s="6" t="s">
        <v>22</v>
      </c>
    </row>
    <row r="2715" spans="1:15" hidden="1">
      <c r="A2715" s="6" t="s">
        <v>15</v>
      </c>
      <c r="B2715" s="6" t="str">
        <f>"FES1162691080"</f>
        <v>FES1162691080</v>
      </c>
      <c r="C2715" s="7">
        <v>43606</v>
      </c>
      <c r="D2715" s="6">
        <v>1</v>
      </c>
      <c r="E2715" s="6">
        <v>217685152</v>
      </c>
      <c r="F2715" s="6" t="s">
        <v>16</v>
      </c>
      <c r="G2715" s="6" t="s">
        <v>17</v>
      </c>
      <c r="H2715" s="6" t="s">
        <v>43</v>
      </c>
      <c r="I2715" s="6" t="s">
        <v>75</v>
      </c>
      <c r="J2715" s="6" t="s">
        <v>811</v>
      </c>
      <c r="K2715" s="7">
        <v>43607</v>
      </c>
      <c r="L2715" s="8">
        <v>0.46736111111111112</v>
      </c>
      <c r="M2715" s="6" t="s">
        <v>1167</v>
      </c>
      <c r="N2715" s="6" t="s">
        <v>21</v>
      </c>
      <c r="O2715" s="6" t="s">
        <v>22</v>
      </c>
    </row>
    <row r="2716" spans="1:15" hidden="1">
      <c r="A2716" s="6" t="s">
        <v>15</v>
      </c>
      <c r="B2716" s="6" t="str">
        <f>"FES1162690789"</f>
        <v>FES1162690789</v>
      </c>
      <c r="C2716" s="7">
        <v>43606</v>
      </c>
      <c r="D2716" s="6">
        <v>1</v>
      </c>
      <c r="E2716" s="6">
        <v>217689015</v>
      </c>
      <c r="F2716" s="6" t="s">
        <v>16</v>
      </c>
      <c r="G2716" s="6" t="s">
        <v>17</v>
      </c>
      <c r="H2716" s="6" t="s">
        <v>290</v>
      </c>
      <c r="I2716" s="6" t="s">
        <v>291</v>
      </c>
      <c r="J2716" s="6" t="s">
        <v>1744</v>
      </c>
      <c r="K2716" s="7">
        <v>43607</v>
      </c>
      <c r="L2716" s="8">
        <v>0.36458333333333331</v>
      </c>
      <c r="M2716" s="6" t="s">
        <v>3813</v>
      </c>
      <c r="N2716" s="6" t="s">
        <v>21</v>
      </c>
      <c r="O2716" s="6" t="s">
        <v>22</v>
      </c>
    </row>
    <row r="2717" spans="1:15" hidden="1">
      <c r="A2717" s="6" t="s">
        <v>15</v>
      </c>
      <c r="B2717" s="6" t="str">
        <f>"FES1162690818"</f>
        <v>FES1162690818</v>
      </c>
      <c r="C2717" s="7">
        <v>43606</v>
      </c>
      <c r="D2717" s="6">
        <v>1</v>
      </c>
      <c r="E2717" s="6">
        <v>2170689048</v>
      </c>
      <c r="F2717" s="6" t="s">
        <v>16</v>
      </c>
      <c r="G2717" s="6" t="s">
        <v>17</v>
      </c>
      <c r="H2717" s="6" t="s">
        <v>290</v>
      </c>
      <c r="I2717" s="6" t="s">
        <v>291</v>
      </c>
      <c r="J2717" s="6" t="s">
        <v>1907</v>
      </c>
      <c r="K2717" s="7">
        <v>43607</v>
      </c>
      <c r="L2717" s="8">
        <v>0.3263888888888889</v>
      </c>
      <c r="M2717" s="6" t="s">
        <v>481</v>
      </c>
      <c r="N2717" s="6" t="s">
        <v>21</v>
      </c>
      <c r="O2717" s="6" t="s">
        <v>22</v>
      </c>
    </row>
    <row r="2718" spans="1:15" hidden="1">
      <c r="A2718" s="6" t="s">
        <v>15</v>
      </c>
      <c r="B2718" s="6" t="str">
        <f>"FES1162691071"</f>
        <v>FES1162691071</v>
      </c>
      <c r="C2718" s="7">
        <v>43606</v>
      </c>
      <c r="D2718" s="6">
        <v>1</v>
      </c>
      <c r="E2718" s="6">
        <v>2170689497</v>
      </c>
      <c r="F2718" s="6" t="s">
        <v>16</v>
      </c>
      <c r="G2718" s="6" t="s">
        <v>17</v>
      </c>
      <c r="H2718" s="6" t="s">
        <v>43</v>
      </c>
      <c r="I2718" s="6" t="s">
        <v>44</v>
      </c>
      <c r="J2718" s="6" t="s">
        <v>207</v>
      </c>
      <c r="K2718" s="7">
        <v>43607</v>
      </c>
      <c r="L2718" s="8">
        <v>0.41666666666666669</v>
      </c>
      <c r="M2718" s="6" t="s">
        <v>1789</v>
      </c>
      <c r="N2718" s="6" t="s">
        <v>21</v>
      </c>
      <c r="O2718" s="6" t="s">
        <v>22</v>
      </c>
    </row>
    <row r="2719" spans="1:15" hidden="1">
      <c r="A2719" s="6" t="s">
        <v>15</v>
      </c>
      <c r="B2719" s="6" t="str">
        <f>"FES1162691072"</f>
        <v>FES1162691072</v>
      </c>
      <c r="C2719" s="7">
        <v>43606</v>
      </c>
      <c r="D2719" s="6">
        <v>1</v>
      </c>
      <c r="E2719" s="6">
        <v>2170689498</v>
      </c>
      <c r="F2719" s="6" t="s">
        <v>16</v>
      </c>
      <c r="G2719" s="6" t="s">
        <v>17</v>
      </c>
      <c r="H2719" s="6" t="s">
        <v>32</v>
      </c>
      <c r="I2719" s="6" t="s">
        <v>33</v>
      </c>
      <c r="J2719" s="6" t="s">
        <v>360</v>
      </c>
      <c r="K2719" s="7">
        <v>43607</v>
      </c>
      <c r="L2719" s="8">
        <v>0.35416666666666669</v>
      </c>
      <c r="M2719" s="6" t="s">
        <v>361</v>
      </c>
      <c r="N2719" s="6" t="s">
        <v>21</v>
      </c>
      <c r="O2719" s="6" t="s">
        <v>22</v>
      </c>
    </row>
    <row r="2720" spans="1:15" hidden="1">
      <c r="A2720" s="6" t="s">
        <v>15</v>
      </c>
      <c r="B2720" s="6" t="str">
        <f>"FES1162691081"</f>
        <v>FES1162691081</v>
      </c>
      <c r="C2720" s="7">
        <v>43606</v>
      </c>
      <c r="D2720" s="6">
        <v>1</v>
      </c>
      <c r="E2720" s="6">
        <v>217069504</v>
      </c>
      <c r="F2720" s="6" t="s">
        <v>16</v>
      </c>
      <c r="G2720" s="6" t="s">
        <v>17</v>
      </c>
      <c r="H2720" s="6" t="s">
        <v>43</v>
      </c>
      <c r="I2720" s="6" t="s">
        <v>44</v>
      </c>
      <c r="J2720" s="6" t="s">
        <v>51</v>
      </c>
      <c r="K2720" s="7">
        <v>43607</v>
      </c>
      <c r="L2720" s="8">
        <v>0.34652777777777777</v>
      </c>
      <c r="M2720" s="6" t="s">
        <v>3735</v>
      </c>
      <c r="N2720" s="6" t="s">
        <v>21</v>
      </c>
      <c r="O2720" s="6" t="s">
        <v>22</v>
      </c>
    </row>
    <row r="2721" spans="1:15" hidden="1">
      <c r="A2721" s="6" t="s">
        <v>15</v>
      </c>
      <c r="B2721" s="6" t="str">
        <f>"FES1162691079"</f>
        <v>FES1162691079</v>
      </c>
      <c r="C2721" s="7">
        <v>43606</v>
      </c>
      <c r="D2721" s="6">
        <v>1</v>
      </c>
      <c r="E2721" s="6">
        <v>2170685453</v>
      </c>
      <c r="F2721" s="6" t="s">
        <v>16</v>
      </c>
      <c r="G2721" s="6" t="s">
        <v>17</v>
      </c>
      <c r="H2721" s="6" t="s">
        <v>43</v>
      </c>
      <c r="I2721" s="6" t="s">
        <v>75</v>
      </c>
      <c r="J2721" s="6" t="s">
        <v>811</v>
      </c>
      <c r="K2721" s="7">
        <v>43607</v>
      </c>
      <c r="L2721" s="8">
        <v>0.46736111111111112</v>
      </c>
      <c r="M2721" s="6" t="s">
        <v>1167</v>
      </c>
      <c r="N2721" s="6" t="s">
        <v>21</v>
      </c>
      <c r="O2721" s="6" t="s">
        <v>22</v>
      </c>
    </row>
    <row r="2722" spans="1:15" hidden="1">
      <c r="A2722" s="6" t="s">
        <v>15</v>
      </c>
      <c r="B2722" s="6" t="str">
        <f>"FES1162691090"</f>
        <v>FES1162691090</v>
      </c>
      <c r="C2722" s="7">
        <v>43606</v>
      </c>
      <c r="D2722" s="6">
        <v>1</v>
      </c>
      <c r="E2722" s="6">
        <v>2170689524</v>
      </c>
      <c r="F2722" s="6" t="s">
        <v>16</v>
      </c>
      <c r="G2722" s="6" t="s">
        <v>17</v>
      </c>
      <c r="H2722" s="6" t="s">
        <v>37</v>
      </c>
      <c r="I2722" s="6" t="s">
        <v>38</v>
      </c>
      <c r="J2722" s="6" t="s">
        <v>766</v>
      </c>
      <c r="K2722" s="7">
        <v>43607</v>
      </c>
      <c r="L2722" s="8">
        <v>0.38472222222222219</v>
      </c>
      <c r="M2722" s="6" t="s">
        <v>77</v>
      </c>
      <c r="N2722" s="6" t="s">
        <v>21</v>
      </c>
      <c r="O2722" s="6" t="s">
        <v>22</v>
      </c>
    </row>
    <row r="2723" spans="1:15">
      <c r="A2723" s="6" t="s">
        <v>15</v>
      </c>
      <c r="B2723" s="6" t="str">
        <f>"FES1162691005"</f>
        <v>FES1162691005</v>
      </c>
      <c r="C2723" s="7">
        <v>43606</v>
      </c>
      <c r="D2723" s="6">
        <v>1</v>
      </c>
      <c r="E2723" s="6">
        <v>2170689421</v>
      </c>
      <c r="F2723" s="6" t="s">
        <v>16</v>
      </c>
      <c r="G2723" s="6" t="s">
        <v>17</v>
      </c>
      <c r="H2723" s="6" t="s">
        <v>17</v>
      </c>
      <c r="I2723" s="6" t="s">
        <v>103</v>
      </c>
      <c r="J2723" s="6" t="s">
        <v>616</v>
      </c>
      <c r="K2723" s="7">
        <v>43607</v>
      </c>
      <c r="L2723" s="8">
        <v>0.3923611111111111</v>
      </c>
      <c r="M2723" s="6" t="s">
        <v>3814</v>
      </c>
      <c r="N2723" s="6" t="s">
        <v>21</v>
      </c>
      <c r="O2723" s="6" t="s">
        <v>22</v>
      </c>
    </row>
    <row r="2724" spans="1:15" hidden="1">
      <c r="A2724" s="6" t="s">
        <v>15</v>
      </c>
      <c r="B2724" s="6" t="str">
        <f>"FES1162691086"</f>
        <v>FES1162691086</v>
      </c>
      <c r="C2724" s="7">
        <v>43606</v>
      </c>
      <c r="D2724" s="6">
        <v>1</v>
      </c>
      <c r="E2724" s="6">
        <v>2170689515</v>
      </c>
      <c r="F2724" s="6" t="s">
        <v>16</v>
      </c>
      <c r="G2724" s="6" t="s">
        <v>17</v>
      </c>
      <c r="H2724" s="6" t="s">
        <v>43</v>
      </c>
      <c r="I2724" s="6" t="s">
        <v>807</v>
      </c>
      <c r="J2724" s="6" t="s">
        <v>1862</v>
      </c>
      <c r="K2724" s="7">
        <v>43607</v>
      </c>
      <c r="L2724" s="8">
        <v>0.51874999999999993</v>
      </c>
      <c r="M2724" s="6" t="s">
        <v>3815</v>
      </c>
      <c r="N2724" s="6" t="s">
        <v>21</v>
      </c>
      <c r="O2724" s="6" t="s">
        <v>22</v>
      </c>
    </row>
    <row r="2725" spans="1:15" hidden="1">
      <c r="A2725" s="6" t="s">
        <v>15</v>
      </c>
      <c r="B2725" s="6" t="str">
        <f>"FES1162691083"</f>
        <v>FES1162691083</v>
      </c>
      <c r="C2725" s="7">
        <v>43606</v>
      </c>
      <c r="D2725" s="6">
        <v>1</v>
      </c>
      <c r="E2725" s="6">
        <v>2170689511</v>
      </c>
      <c r="F2725" s="6" t="s">
        <v>16</v>
      </c>
      <c r="G2725" s="6" t="s">
        <v>17</v>
      </c>
      <c r="H2725" s="6" t="s">
        <v>43</v>
      </c>
      <c r="I2725" s="6" t="s">
        <v>2943</v>
      </c>
      <c r="J2725" s="6" t="s">
        <v>2944</v>
      </c>
      <c r="K2725" s="7">
        <v>43607</v>
      </c>
      <c r="L2725" s="8">
        <v>0.48125000000000001</v>
      </c>
      <c r="M2725" s="6" t="s">
        <v>3816</v>
      </c>
      <c r="N2725" s="6" t="s">
        <v>21</v>
      </c>
      <c r="O2725" s="6" t="s">
        <v>22</v>
      </c>
    </row>
    <row r="2726" spans="1:15">
      <c r="A2726" s="6" t="s">
        <v>15</v>
      </c>
      <c r="B2726" s="6" t="str">
        <f>"FES1162691031"</f>
        <v>FES1162691031</v>
      </c>
      <c r="C2726" s="7">
        <v>43606</v>
      </c>
      <c r="D2726" s="6">
        <v>1</v>
      </c>
      <c r="E2726" s="6">
        <v>217689452</v>
      </c>
      <c r="F2726" s="6" t="s">
        <v>16</v>
      </c>
      <c r="G2726" s="6" t="s">
        <v>17</v>
      </c>
      <c r="H2726" s="6" t="s">
        <v>17</v>
      </c>
      <c r="I2726" s="6" t="s">
        <v>18</v>
      </c>
      <c r="J2726" s="6" t="s">
        <v>2218</v>
      </c>
      <c r="K2726" s="7">
        <v>43607</v>
      </c>
      <c r="L2726" s="8">
        <v>0.36319444444444443</v>
      </c>
      <c r="M2726" s="6" t="s">
        <v>3817</v>
      </c>
      <c r="N2726" s="6" t="s">
        <v>21</v>
      </c>
      <c r="O2726" s="6" t="s">
        <v>22</v>
      </c>
    </row>
    <row r="2727" spans="1:15">
      <c r="A2727" s="6" t="s">
        <v>15</v>
      </c>
      <c r="B2727" s="6" t="str">
        <f>"FES1162691042"</f>
        <v>FES1162691042</v>
      </c>
      <c r="C2727" s="7">
        <v>43606</v>
      </c>
      <c r="D2727" s="6">
        <v>1</v>
      </c>
      <c r="E2727" s="6">
        <v>2170689467</v>
      </c>
      <c r="F2727" s="6" t="s">
        <v>16</v>
      </c>
      <c r="G2727" s="6" t="s">
        <v>17</v>
      </c>
      <c r="H2727" s="6" t="s">
        <v>17</v>
      </c>
      <c r="I2727" s="6" t="s">
        <v>64</v>
      </c>
      <c r="J2727" s="6" t="s">
        <v>3818</v>
      </c>
      <c r="K2727" s="7">
        <v>43607</v>
      </c>
      <c r="L2727" s="8">
        <v>0.33333333333333331</v>
      </c>
      <c r="M2727" s="6" t="s">
        <v>2659</v>
      </c>
      <c r="N2727" s="6" t="s">
        <v>21</v>
      </c>
      <c r="O2727" s="6" t="s">
        <v>22</v>
      </c>
    </row>
    <row r="2728" spans="1:15" hidden="1">
      <c r="A2728" s="6" t="s">
        <v>15</v>
      </c>
      <c r="B2728" s="6" t="str">
        <f>"FES1162691078"</f>
        <v>FES1162691078</v>
      </c>
      <c r="C2728" s="7">
        <v>43606</v>
      </c>
      <c r="D2728" s="6">
        <v>1</v>
      </c>
      <c r="E2728" s="6">
        <v>2170689507</v>
      </c>
      <c r="F2728" s="6" t="s">
        <v>16</v>
      </c>
      <c r="G2728" s="6" t="s">
        <v>17</v>
      </c>
      <c r="H2728" s="6" t="s">
        <v>32</v>
      </c>
      <c r="I2728" s="6" t="s">
        <v>33</v>
      </c>
      <c r="J2728" s="6" t="s">
        <v>3819</v>
      </c>
      <c r="K2728" s="7">
        <v>43607</v>
      </c>
      <c r="L2728" s="8">
        <v>0.73125000000000007</v>
      </c>
      <c r="M2728" s="6" t="s">
        <v>3820</v>
      </c>
      <c r="N2728" s="6" t="s">
        <v>21</v>
      </c>
      <c r="O2728" s="6" t="s">
        <v>22</v>
      </c>
    </row>
    <row r="2729" spans="1:15">
      <c r="A2729" s="6" t="s">
        <v>15</v>
      </c>
      <c r="B2729" s="6" t="str">
        <f>"FES1162691035"</f>
        <v>FES1162691035</v>
      </c>
      <c r="C2729" s="7">
        <v>43606</v>
      </c>
      <c r="D2729" s="6">
        <v>1</v>
      </c>
      <c r="E2729" s="6">
        <v>2170689459</v>
      </c>
      <c r="F2729" s="6" t="s">
        <v>16</v>
      </c>
      <c r="G2729" s="6" t="s">
        <v>17</v>
      </c>
      <c r="H2729" s="6" t="s">
        <v>17</v>
      </c>
      <c r="I2729" s="6" t="s">
        <v>29</v>
      </c>
      <c r="J2729" s="6" t="s">
        <v>1080</v>
      </c>
      <c r="K2729" s="7">
        <v>43607</v>
      </c>
      <c r="L2729" s="8">
        <v>0.33333333333333331</v>
      </c>
      <c r="M2729" s="6" t="s">
        <v>3692</v>
      </c>
      <c r="N2729" s="6" t="s">
        <v>21</v>
      </c>
      <c r="O2729" s="6" t="s">
        <v>22</v>
      </c>
    </row>
    <row r="2730" spans="1:15" hidden="1">
      <c r="A2730" s="6" t="s">
        <v>15</v>
      </c>
      <c r="B2730" s="6" t="str">
        <f>"FES1162691064"</f>
        <v>FES1162691064</v>
      </c>
      <c r="C2730" s="7">
        <v>43606</v>
      </c>
      <c r="D2730" s="6">
        <v>1</v>
      </c>
      <c r="E2730" s="6">
        <v>2170689487</v>
      </c>
      <c r="F2730" s="6" t="s">
        <v>16</v>
      </c>
      <c r="G2730" s="6" t="s">
        <v>17</v>
      </c>
      <c r="H2730" s="6" t="s">
        <v>141</v>
      </c>
      <c r="I2730" s="6" t="s">
        <v>142</v>
      </c>
      <c r="J2730" s="6" t="s">
        <v>228</v>
      </c>
      <c r="K2730" s="7">
        <v>43607</v>
      </c>
      <c r="L2730" s="8">
        <v>0.33124999999999999</v>
      </c>
      <c r="M2730" s="6" t="s">
        <v>229</v>
      </c>
      <c r="N2730" s="6" t="s">
        <v>21</v>
      </c>
      <c r="O2730" s="6" t="s">
        <v>22</v>
      </c>
    </row>
    <row r="2731" spans="1:15" hidden="1">
      <c r="A2731" s="6" t="s">
        <v>15</v>
      </c>
      <c r="B2731" s="6" t="str">
        <f>"FES1162691026"</f>
        <v>FES1162691026</v>
      </c>
      <c r="C2731" s="7">
        <v>43606</v>
      </c>
      <c r="D2731" s="6">
        <v>1</v>
      </c>
      <c r="E2731" s="6">
        <v>2170689447</v>
      </c>
      <c r="F2731" s="6" t="s">
        <v>16</v>
      </c>
      <c r="G2731" s="6" t="s">
        <v>17</v>
      </c>
      <c r="H2731" s="6" t="s">
        <v>141</v>
      </c>
      <c r="I2731" s="6" t="s">
        <v>142</v>
      </c>
      <c r="J2731" s="6" t="s">
        <v>1605</v>
      </c>
      <c r="K2731" s="7">
        <v>43607</v>
      </c>
      <c r="L2731" s="8">
        <v>0.41666666666666669</v>
      </c>
      <c r="M2731" s="6" t="s">
        <v>3821</v>
      </c>
      <c r="N2731" s="6" t="s">
        <v>21</v>
      </c>
      <c r="O2731" s="6" t="s">
        <v>22</v>
      </c>
    </row>
    <row r="2732" spans="1:15" hidden="1">
      <c r="A2732" s="6" t="s">
        <v>15</v>
      </c>
      <c r="B2732" s="6" t="str">
        <f>"FES1162691063"</f>
        <v>FES1162691063</v>
      </c>
      <c r="C2732" s="7">
        <v>43606</v>
      </c>
      <c r="D2732" s="6">
        <v>1</v>
      </c>
      <c r="E2732" s="6">
        <v>2170689483</v>
      </c>
      <c r="F2732" s="6" t="s">
        <v>16</v>
      </c>
      <c r="G2732" s="6" t="s">
        <v>17</v>
      </c>
      <c r="H2732" s="6" t="s">
        <v>32</v>
      </c>
      <c r="I2732" s="6" t="s">
        <v>33</v>
      </c>
      <c r="J2732" s="6" t="s">
        <v>360</v>
      </c>
      <c r="K2732" s="7">
        <v>43607</v>
      </c>
      <c r="L2732" s="8">
        <v>0.35416666666666669</v>
      </c>
      <c r="M2732" s="6" t="s">
        <v>361</v>
      </c>
      <c r="N2732" s="6" t="s">
        <v>21</v>
      </c>
      <c r="O2732" s="6" t="s">
        <v>22</v>
      </c>
    </row>
    <row r="2733" spans="1:15" hidden="1">
      <c r="A2733" s="6" t="s">
        <v>15</v>
      </c>
      <c r="B2733" s="6" t="str">
        <f>"FES1162690986"</f>
        <v>FES1162690986</v>
      </c>
      <c r="C2733" s="7">
        <v>43606</v>
      </c>
      <c r="D2733" s="6">
        <v>1</v>
      </c>
      <c r="E2733" s="6">
        <v>2170689399</v>
      </c>
      <c r="F2733" s="6" t="s">
        <v>16</v>
      </c>
      <c r="G2733" s="6" t="s">
        <v>17</v>
      </c>
      <c r="H2733" s="6" t="s">
        <v>141</v>
      </c>
      <c r="I2733" s="6" t="s">
        <v>142</v>
      </c>
      <c r="J2733" s="6" t="s">
        <v>228</v>
      </c>
      <c r="K2733" s="7">
        <v>43607</v>
      </c>
      <c r="L2733" s="8">
        <v>0.33263888888888887</v>
      </c>
      <c r="M2733" s="6" t="s">
        <v>229</v>
      </c>
      <c r="N2733" s="6" t="s">
        <v>21</v>
      </c>
      <c r="O2733" s="6" t="s">
        <v>22</v>
      </c>
    </row>
    <row r="2734" spans="1:15" hidden="1">
      <c r="A2734" s="6" t="s">
        <v>15</v>
      </c>
      <c r="B2734" s="6" t="str">
        <f>"FES1162691057"</f>
        <v>FES1162691057</v>
      </c>
      <c r="C2734" s="7">
        <v>43606</v>
      </c>
      <c r="D2734" s="6">
        <v>1</v>
      </c>
      <c r="E2734" s="6">
        <v>217069489</v>
      </c>
      <c r="F2734" s="6" t="s">
        <v>16</v>
      </c>
      <c r="G2734" s="6" t="s">
        <v>17</v>
      </c>
      <c r="H2734" s="6" t="s">
        <v>141</v>
      </c>
      <c r="I2734" s="6" t="s">
        <v>185</v>
      </c>
      <c r="J2734" s="6" t="s">
        <v>3822</v>
      </c>
      <c r="K2734" s="7">
        <v>43607</v>
      </c>
      <c r="L2734" s="8">
        <v>0.4375</v>
      </c>
      <c r="M2734" s="6" t="s">
        <v>3823</v>
      </c>
      <c r="N2734" s="6" t="s">
        <v>21</v>
      </c>
      <c r="O2734" s="6" t="s">
        <v>22</v>
      </c>
    </row>
    <row r="2735" spans="1:15">
      <c r="A2735" s="17" t="s">
        <v>15</v>
      </c>
      <c r="B2735" s="17" t="str">
        <f>"FES1162691041"</f>
        <v>FES1162691041</v>
      </c>
      <c r="C2735" s="18">
        <v>43606</v>
      </c>
      <c r="D2735" s="17">
        <v>1</v>
      </c>
      <c r="E2735" s="17">
        <v>2170689466</v>
      </c>
      <c r="F2735" s="17" t="s">
        <v>16</v>
      </c>
      <c r="G2735" s="17" t="s">
        <v>17</v>
      </c>
      <c r="H2735" s="17" t="s">
        <v>17</v>
      </c>
      <c r="I2735" s="17" t="s">
        <v>18</v>
      </c>
      <c r="J2735" s="17" t="s">
        <v>93</v>
      </c>
      <c r="K2735" s="18">
        <v>43607</v>
      </c>
      <c r="L2735" s="19">
        <v>0.4375</v>
      </c>
      <c r="M2735" s="17" t="s">
        <v>3824</v>
      </c>
      <c r="N2735" s="17" t="s">
        <v>21</v>
      </c>
      <c r="O2735" s="17" t="s">
        <v>3825</v>
      </c>
    </row>
    <row r="2736" spans="1:15">
      <c r="A2736" s="6" t="s">
        <v>15</v>
      </c>
      <c r="B2736" s="6" t="str">
        <f>"FES1162691082"</f>
        <v>FES1162691082</v>
      </c>
      <c r="C2736" s="7">
        <v>43606</v>
      </c>
      <c r="D2736" s="6">
        <v>1</v>
      </c>
      <c r="E2736" s="6">
        <v>2170689506</v>
      </c>
      <c r="F2736" s="6" t="s">
        <v>16</v>
      </c>
      <c r="G2736" s="6" t="s">
        <v>17</v>
      </c>
      <c r="H2736" s="6" t="s">
        <v>17</v>
      </c>
      <c r="I2736" s="6" t="s">
        <v>23</v>
      </c>
      <c r="J2736" s="6" t="s">
        <v>933</v>
      </c>
      <c r="K2736" s="7">
        <v>43607</v>
      </c>
      <c r="L2736" s="8">
        <v>0.33611111111111108</v>
      </c>
      <c r="M2736" s="6" t="s">
        <v>934</v>
      </c>
      <c r="N2736" s="6" t="s">
        <v>21</v>
      </c>
      <c r="O2736" s="6" t="s">
        <v>22</v>
      </c>
    </row>
    <row r="2737" spans="1:15" hidden="1">
      <c r="A2737" s="6" t="s">
        <v>15</v>
      </c>
      <c r="B2737" s="6" t="str">
        <f>"FES1162690641"</f>
        <v>FES1162690641</v>
      </c>
      <c r="C2737" s="7">
        <v>43606</v>
      </c>
      <c r="D2737" s="6">
        <v>2</v>
      </c>
      <c r="E2737" s="6">
        <v>2170688920</v>
      </c>
      <c r="F2737" s="6" t="s">
        <v>58</v>
      </c>
      <c r="G2737" s="6" t="s">
        <v>59</v>
      </c>
      <c r="H2737" s="6" t="s">
        <v>1507</v>
      </c>
      <c r="I2737" s="6" t="s">
        <v>421</v>
      </c>
      <c r="J2737" s="6" t="s">
        <v>3428</v>
      </c>
      <c r="K2737" s="7">
        <v>43607</v>
      </c>
      <c r="L2737" s="8">
        <v>0.33333333333333331</v>
      </c>
      <c r="M2737" s="6" t="s">
        <v>3826</v>
      </c>
      <c r="N2737" s="6" t="s">
        <v>21</v>
      </c>
      <c r="O2737" s="6" t="s">
        <v>22</v>
      </c>
    </row>
    <row r="2738" spans="1:15" hidden="1">
      <c r="A2738" s="17" t="s">
        <v>15</v>
      </c>
      <c r="B2738" s="17" t="str">
        <f>"FES1162690621"</f>
        <v>FES1162690621</v>
      </c>
      <c r="C2738" s="18">
        <v>43606</v>
      </c>
      <c r="D2738" s="17">
        <v>1</v>
      </c>
      <c r="E2738" s="17">
        <v>217069505</v>
      </c>
      <c r="F2738" s="17" t="s">
        <v>16</v>
      </c>
      <c r="G2738" s="17" t="s">
        <v>17</v>
      </c>
      <c r="H2738" s="17" t="s">
        <v>43</v>
      </c>
      <c r="I2738" s="17" t="s">
        <v>75</v>
      </c>
      <c r="J2738" s="17" t="s">
        <v>3827</v>
      </c>
      <c r="K2738" s="18">
        <v>43607</v>
      </c>
      <c r="L2738" s="19">
        <v>0.33333333333333331</v>
      </c>
      <c r="M2738" s="17" t="s">
        <v>3828</v>
      </c>
      <c r="N2738" s="17" t="s">
        <v>21</v>
      </c>
      <c r="O2738" s="17" t="s">
        <v>22</v>
      </c>
    </row>
    <row r="2739" spans="1:15" hidden="1">
      <c r="A2739" s="6" t="s">
        <v>15</v>
      </c>
      <c r="B2739" s="6" t="str">
        <f>"FES1162690940"</f>
        <v>FES1162690940</v>
      </c>
      <c r="C2739" s="7">
        <v>43606</v>
      </c>
      <c r="D2739" s="6">
        <v>1</v>
      </c>
      <c r="E2739" s="6">
        <v>2170687456</v>
      </c>
      <c r="F2739" s="6" t="s">
        <v>16</v>
      </c>
      <c r="G2739" s="6" t="s">
        <v>17</v>
      </c>
      <c r="H2739" s="6" t="s">
        <v>290</v>
      </c>
      <c r="I2739" s="6" t="s">
        <v>291</v>
      </c>
      <c r="J2739" s="6" t="s">
        <v>297</v>
      </c>
      <c r="K2739" s="7">
        <v>43607</v>
      </c>
      <c r="L2739" s="8">
        <v>0.3347222222222222</v>
      </c>
      <c r="M2739" s="6" t="s">
        <v>3772</v>
      </c>
      <c r="N2739" s="6" t="s">
        <v>21</v>
      </c>
      <c r="O2739" s="6" t="s">
        <v>22</v>
      </c>
    </row>
    <row r="2740" spans="1:15">
      <c r="A2740" s="6" t="s">
        <v>15</v>
      </c>
      <c r="B2740" s="6" t="str">
        <f>"FES1162691049"</f>
        <v>FES1162691049</v>
      </c>
      <c r="C2740" s="7">
        <v>43606</v>
      </c>
      <c r="D2740" s="6">
        <v>1</v>
      </c>
      <c r="E2740" s="6">
        <v>2170689474</v>
      </c>
      <c r="F2740" s="6" t="s">
        <v>16</v>
      </c>
      <c r="G2740" s="6" t="s">
        <v>17</v>
      </c>
      <c r="H2740" s="6" t="s">
        <v>17</v>
      </c>
      <c r="I2740" s="6" t="s">
        <v>64</v>
      </c>
      <c r="J2740" s="6" t="s">
        <v>3818</v>
      </c>
      <c r="K2740" s="7">
        <v>43607</v>
      </c>
      <c r="L2740" s="8">
        <v>0.33333333333333331</v>
      </c>
      <c r="M2740" s="6" t="s">
        <v>2659</v>
      </c>
      <c r="N2740" s="6" t="s">
        <v>21</v>
      </c>
      <c r="O2740" s="6" t="s">
        <v>22</v>
      </c>
    </row>
    <row r="2741" spans="1:15">
      <c r="A2741" s="6" t="s">
        <v>15</v>
      </c>
      <c r="B2741" s="6" t="str">
        <f>"FES1162691073"</f>
        <v>FES1162691073</v>
      </c>
      <c r="C2741" s="7">
        <v>43606</v>
      </c>
      <c r="D2741" s="6">
        <v>1</v>
      </c>
      <c r="E2741" s="6">
        <v>2170689499</v>
      </c>
      <c r="F2741" s="6" t="s">
        <v>16</v>
      </c>
      <c r="G2741" s="6" t="s">
        <v>17</v>
      </c>
      <c r="H2741" s="6" t="s">
        <v>17</v>
      </c>
      <c r="I2741" s="6" t="s">
        <v>29</v>
      </c>
      <c r="J2741" s="6" t="s">
        <v>3829</v>
      </c>
      <c r="K2741" s="7">
        <v>43607</v>
      </c>
      <c r="L2741" s="8">
        <v>0.33333333333333331</v>
      </c>
      <c r="M2741" s="6" t="s">
        <v>3830</v>
      </c>
      <c r="N2741" s="6" t="s">
        <v>21</v>
      </c>
      <c r="O2741" s="6" t="s">
        <v>22</v>
      </c>
    </row>
    <row r="2742" spans="1:15" hidden="1">
      <c r="A2742" s="6" t="s">
        <v>15</v>
      </c>
      <c r="B2742" s="6" t="str">
        <f>"FES1162690814"</f>
        <v>FES1162690814</v>
      </c>
      <c r="C2742" s="7">
        <v>43606</v>
      </c>
      <c r="D2742" s="6">
        <v>1</v>
      </c>
      <c r="E2742" s="6">
        <v>2170688879</v>
      </c>
      <c r="F2742" s="6" t="s">
        <v>16</v>
      </c>
      <c r="G2742" s="6" t="s">
        <v>17</v>
      </c>
      <c r="H2742" s="6" t="s">
        <v>290</v>
      </c>
      <c r="I2742" s="6" t="s">
        <v>316</v>
      </c>
      <c r="J2742" s="6" t="s">
        <v>1633</v>
      </c>
      <c r="K2742" s="7">
        <v>43607</v>
      </c>
      <c r="L2742" s="8">
        <v>0.41597222222222219</v>
      </c>
      <c r="M2742" s="6" t="s">
        <v>3831</v>
      </c>
      <c r="N2742" s="6" t="s">
        <v>21</v>
      </c>
      <c r="O2742" s="6" t="s">
        <v>22</v>
      </c>
    </row>
    <row r="2743" spans="1:15">
      <c r="A2743" s="6" t="s">
        <v>15</v>
      </c>
      <c r="B2743" s="6" t="str">
        <f>"FES1162691069"</f>
        <v>FES1162691069</v>
      </c>
      <c r="C2743" s="7">
        <v>43606</v>
      </c>
      <c r="D2743" s="6">
        <v>1</v>
      </c>
      <c r="E2743" s="6">
        <v>2170689495</v>
      </c>
      <c r="F2743" s="6" t="s">
        <v>16</v>
      </c>
      <c r="G2743" s="6" t="s">
        <v>17</v>
      </c>
      <c r="H2743" s="6" t="s">
        <v>17</v>
      </c>
      <c r="I2743" s="6" t="s">
        <v>64</v>
      </c>
      <c r="J2743" s="6" t="s">
        <v>3818</v>
      </c>
      <c r="K2743" s="7">
        <v>43607</v>
      </c>
      <c r="L2743" s="8">
        <v>0.33333333333333331</v>
      </c>
      <c r="M2743" s="6" t="s">
        <v>2659</v>
      </c>
      <c r="N2743" s="6" t="s">
        <v>21</v>
      </c>
      <c r="O2743" s="6" t="s">
        <v>22</v>
      </c>
    </row>
    <row r="2744" spans="1:15" hidden="1">
      <c r="A2744" s="6" t="s">
        <v>15</v>
      </c>
      <c r="B2744" s="6" t="str">
        <f>"FES1162691066"</f>
        <v>FES1162691066</v>
      </c>
      <c r="C2744" s="7">
        <v>43606</v>
      </c>
      <c r="D2744" s="6">
        <v>1</v>
      </c>
      <c r="E2744" s="6">
        <v>217069491</v>
      </c>
      <c r="F2744" s="6" t="s">
        <v>16</v>
      </c>
      <c r="G2744" s="6" t="s">
        <v>17</v>
      </c>
      <c r="H2744" s="6" t="s">
        <v>32</v>
      </c>
      <c r="I2744" s="6" t="s">
        <v>33</v>
      </c>
      <c r="J2744" s="6" t="s">
        <v>786</v>
      </c>
      <c r="K2744" s="7">
        <v>43607</v>
      </c>
      <c r="L2744" s="8">
        <v>0.41805555555555557</v>
      </c>
      <c r="M2744" s="6" t="s">
        <v>787</v>
      </c>
      <c r="N2744" s="6" t="s">
        <v>21</v>
      </c>
      <c r="O2744" s="6" t="s">
        <v>22</v>
      </c>
    </row>
    <row r="2745" spans="1:15" hidden="1">
      <c r="A2745" s="6" t="s">
        <v>15</v>
      </c>
      <c r="B2745" s="6" t="str">
        <f>"FES1162690991"</f>
        <v>FES1162690991</v>
      </c>
      <c r="C2745" s="7">
        <v>43606</v>
      </c>
      <c r="D2745" s="6">
        <v>1</v>
      </c>
      <c r="E2745" s="6" t="s">
        <v>3832</v>
      </c>
      <c r="F2745" s="6" t="s">
        <v>16</v>
      </c>
      <c r="G2745" s="6" t="s">
        <v>17</v>
      </c>
      <c r="H2745" s="6" t="s">
        <v>290</v>
      </c>
      <c r="I2745" s="6" t="s">
        <v>291</v>
      </c>
      <c r="J2745" s="6" t="s">
        <v>1744</v>
      </c>
      <c r="K2745" s="7">
        <v>43607</v>
      </c>
      <c r="L2745" s="8">
        <v>0.36458333333333331</v>
      </c>
      <c r="M2745" s="6" t="s">
        <v>2556</v>
      </c>
      <c r="N2745" s="6" t="s">
        <v>21</v>
      </c>
      <c r="O2745" s="6" t="s">
        <v>22</v>
      </c>
    </row>
    <row r="2746" spans="1:15" hidden="1">
      <c r="A2746" s="6" t="s">
        <v>15</v>
      </c>
      <c r="B2746" s="6" t="str">
        <f>"FES1162691022"</f>
        <v>FES1162691022</v>
      </c>
      <c r="C2746" s="7">
        <v>43606</v>
      </c>
      <c r="D2746" s="6">
        <v>1</v>
      </c>
      <c r="E2746" s="6">
        <v>217069441</v>
      </c>
      <c r="F2746" s="6" t="s">
        <v>16</v>
      </c>
      <c r="G2746" s="6" t="s">
        <v>17</v>
      </c>
      <c r="H2746" s="6" t="s">
        <v>290</v>
      </c>
      <c r="I2746" s="6" t="s">
        <v>309</v>
      </c>
      <c r="J2746" s="6" t="s">
        <v>697</v>
      </c>
      <c r="K2746" s="7">
        <v>43607</v>
      </c>
      <c r="L2746" s="8">
        <v>0.41736111111111113</v>
      </c>
      <c r="M2746" s="6" t="s">
        <v>3833</v>
      </c>
      <c r="N2746" s="6" t="s">
        <v>21</v>
      </c>
      <c r="O2746" s="6" t="s">
        <v>22</v>
      </c>
    </row>
    <row r="2747" spans="1:15">
      <c r="A2747" s="6" t="s">
        <v>15</v>
      </c>
      <c r="B2747" s="6" t="str">
        <f>"FES1162690921"</f>
        <v>FES1162690921</v>
      </c>
      <c r="C2747" s="7">
        <v>43606</v>
      </c>
      <c r="D2747" s="6">
        <v>1</v>
      </c>
      <c r="E2747" s="6">
        <v>21706897024</v>
      </c>
      <c r="F2747" s="6" t="s">
        <v>16</v>
      </c>
      <c r="G2747" s="6" t="s">
        <v>17</v>
      </c>
      <c r="H2747" s="6" t="s">
        <v>17</v>
      </c>
      <c r="I2747" s="6" t="s">
        <v>18</v>
      </c>
      <c r="J2747" s="6" t="s">
        <v>19</v>
      </c>
      <c r="K2747" s="7">
        <v>43607</v>
      </c>
      <c r="L2747" s="8">
        <v>0.38819444444444445</v>
      </c>
      <c r="M2747" s="6" t="s">
        <v>1327</v>
      </c>
      <c r="N2747" s="6" t="s">
        <v>21</v>
      </c>
      <c r="O2747" s="6" t="s">
        <v>22</v>
      </c>
    </row>
    <row r="2748" spans="1:15" hidden="1">
      <c r="A2748" s="6" t="s">
        <v>15</v>
      </c>
      <c r="B2748" s="6" t="str">
        <f>"FES1162690995"</f>
        <v>FES1162690995</v>
      </c>
      <c r="C2748" s="7">
        <v>43606</v>
      </c>
      <c r="D2748" s="6">
        <v>1</v>
      </c>
      <c r="E2748" s="6">
        <v>2170689415</v>
      </c>
      <c r="F2748" s="6" t="s">
        <v>16</v>
      </c>
      <c r="G2748" s="6" t="s">
        <v>17</v>
      </c>
      <c r="H2748" s="6" t="s">
        <v>43</v>
      </c>
      <c r="I2748" s="6" t="s">
        <v>44</v>
      </c>
      <c r="J2748" s="6" t="s">
        <v>748</v>
      </c>
      <c r="K2748" s="7">
        <v>43607</v>
      </c>
      <c r="L2748" s="8">
        <v>0.41666666666666669</v>
      </c>
      <c r="M2748" s="6" t="s">
        <v>3834</v>
      </c>
      <c r="N2748" s="6" t="s">
        <v>21</v>
      </c>
      <c r="O2748" s="6" t="s">
        <v>22</v>
      </c>
    </row>
    <row r="2749" spans="1:15">
      <c r="A2749" s="6" t="s">
        <v>15</v>
      </c>
      <c r="B2749" s="6" t="str">
        <f>"FES1162690786"</f>
        <v>FES1162690786</v>
      </c>
      <c r="C2749" s="7">
        <v>43606</v>
      </c>
      <c r="D2749" s="6">
        <v>1</v>
      </c>
      <c r="E2749" s="6">
        <v>2170684889</v>
      </c>
      <c r="F2749" s="6" t="s">
        <v>16</v>
      </c>
      <c r="G2749" s="6" t="s">
        <v>17</v>
      </c>
      <c r="H2749" s="6" t="s">
        <v>17</v>
      </c>
      <c r="I2749" s="6" t="s">
        <v>18</v>
      </c>
      <c r="J2749" s="6" t="s">
        <v>3835</v>
      </c>
      <c r="K2749" s="7">
        <v>43607</v>
      </c>
      <c r="L2749" s="8">
        <v>0.31597222222222221</v>
      </c>
      <c r="M2749" s="6" t="s">
        <v>3836</v>
      </c>
      <c r="N2749" s="6" t="s">
        <v>21</v>
      </c>
      <c r="O2749" s="6" t="s">
        <v>22</v>
      </c>
    </row>
    <row r="2750" spans="1:15" hidden="1">
      <c r="A2750" s="6" t="s">
        <v>15</v>
      </c>
      <c r="B2750" s="6" t="str">
        <f>"FES1162690967"</f>
        <v>FES1162690967</v>
      </c>
      <c r="C2750" s="7">
        <v>43606</v>
      </c>
      <c r="D2750" s="6">
        <v>2</v>
      </c>
      <c r="E2750" s="6">
        <v>2170689381</v>
      </c>
      <c r="F2750" s="6" t="s">
        <v>16</v>
      </c>
      <c r="G2750" s="6" t="s">
        <v>17</v>
      </c>
      <c r="H2750" s="6" t="s">
        <v>32</v>
      </c>
      <c r="I2750" s="6" t="s">
        <v>33</v>
      </c>
      <c r="J2750" s="6" t="s">
        <v>778</v>
      </c>
      <c r="K2750" s="7">
        <v>43607</v>
      </c>
      <c r="L2750" s="8">
        <v>0.4069444444444445</v>
      </c>
      <c r="M2750" s="6" t="s">
        <v>779</v>
      </c>
      <c r="N2750" s="6" t="s">
        <v>21</v>
      </c>
      <c r="O2750" s="6" t="s">
        <v>22</v>
      </c>
    </row>
    <row r="2751" spans="1:15" hidden="1">
      <c r="A2751" s="6" t="s">
        <v>15</v>
      </c>
      <c r="B2751" s="6" t="str">
        <f>"FES1162691059"</f>
        <v>FES1162691059</v>
      </c>
      <c r="C2751" s="7">
        <v>43606</v>
      </c>
      <c r="D2751" s="6">
        <v>1</v>
      </c>
      <c r="E2751" s="6">
        <v>2170689012</v>
      </c>
      <c r="F2751" s="6" t="s">
        <v>16</v>
      </c>
      <c r="G2751" s="6" t="s">
        <v>17</v>
      </c>
      <c r="H2751" s="6" t="s">
        <v>59</v>
      </c>
      <c r="I2751" s="6" t="s">
        <v>18</v>
      </c>
      <c r="J2751" s="6" t="s">
        <v>19</v>
      </c>
      <c r="K2751" s="7">
        <v>43607</v>
      </c>
      <c r="L2751" s="8">
        <v>0.38819444444444445</v>
      </c>
      <c r="M2751" s="6" t="s">
        <v>1327</v>
      </c>
      <c r="N2751" s="6" t="s">
        <v>21</v>
      </c>
      <c r="O2751" s="6" t="s">
        <v>22</v>
      </c>
    </row>
    <row r="2752" spans="1:15" hidden="1">
      <c r="A2752" s="6" t="s">
        <v>15</v>
      </c>
      <c r="B2752" s="6" t="str">
        <f>"FES1162691012"</f>
        <v>FES1162691012</v>
      </c>
      <c r="C2752" s="7">
        <v>43606</v>
      </c>
      <c r="D2752" s="6">
        <v>1</v>
      </c>
      <c r="E2752" s="6">
        <v>2170688881</v>
      </c>
      <c r="F2752" s="6" t="s">
        <v>16</v>
      </c>
      <c r="G2752" s="6" t="s">
        <v>17</v>
      </c>
      <c r="H2752" s="6" t="s">
        <v>43</v>
      </c>
      <c r="I2752" s="6" t="s">
        <v>44</v>
      </c>
      <c r="J2752" s="6" t="s">
        <v>51</v>
      </c>
      <c r="K2752" s="7">
        <v>43607</v>
      </c>
      <c r="L2752" s="8">
        <v>0.34652777777777777</v>
      </c>
      <c r="M2752" s="6" t="s">
        <v>3735</v>
      </c>
      <c r="N2752" s="6" t="s">
        <v>21</v>
      </c>
      <c r="O2752" s="6" t="s">
        <v>22</v>
      </c>
    </row>
    <row r="2753" spans="1:15" hidden="1">
      <c r="A2753" s="6" t="s">
        <v>15</v>
      </c>
      <c r="B2753" s="6" t="str">
        <f>"FES1162691058"</f>
        <v>FES1162691058</v>
      </c>
      <c r="C2753" s="7">
        <v>43606</v>
      </c>
      <c r="D2753" s="6">
        <v>1</v>
      </c>
      <c r="E2753" s="6">
        <v>2170688935</v>
      </c>
      <c r="F2753" s="6" t="s">
        <v>16</v>
      </c>
      <c r="G2753" s="6" t="s">
        <v>17</v>
      </c>
      <c r="H2753" s="6" t="s">
        <v>43</v>
      </c>
      <c r="I2753" s="6" t="s">
        <v>44</v>
      </c>
      <c r="J2753" s="6" t="s">
        <v>1074</v>
      </c>
      <c r="K2753" s="7">
        <v>43607</v>
      </c>
      <c r="L2753" s="8">
        <v>0.41666666666666669</v>
      </c>
      <c r="M2753" s="6" t="s">
        <v>3837</v>
      </c>
      <c r="N2753" s="6" t="s">
        <v>21</v>
      </c>
      <c r="O2753" s="6" t="s">
        <v>22</v>
      </c>
    </row>
    <row r="2754" spans="1:15" hidden="1">
      <c r="A2754" s="6" t="s">
        <v>15</v>
      </c>
      <c r="B2754" s="6" t="str">
        <f>"FES1162691076"</f>
        <v>FES1162691076</v>
      </c>
      <c r="C2754" s="7">
        <v>43606</v>
      </c>
      <c r="D2754" s="6">
        <v>1</v>
      </c>
      <c r="E2754" s="6">
        <v>2170689503</v>
      </c>
      <c r="F2754" s="6" t="s">
        <v>16</v>
      </c>
      <c r="G2754" s="6" t="s">
        <v>17</v>
      </c>
      <c r="H2754" s="6" t="s">
        <v>43</v>
      </c>
      <c r="I2754" s="6" t="s">
        <v>75</v>
      </c>
      <c r="J2754" s="6" t="s">
        <v>2472</v>
      </c>
      <c r="K2754" s="7">
        <v>43607</v>
      </c>
      <c r="L2754" s="8">
        <v>0.46111111111111108</v>
      </c>
      <c r="M2754" s="6" t="s">
        <v>2473</v>
      </c>
      <c r="N2754" s="6" t="s">
        <v>21</v>
      </c>
      <c r="O2754" s="6" t="s">
        <v>22</v>
      </c>
    </row>
    <row r="2755" spans="1:15" hidden="1">
      <c r="A2755" s="6" t="s">
        <v>15</v>
      </c>
      <c r="B2755" s="6" t="str">
        <f>"FES1162691001"</f>
        <v>FES1162691001</v>
      </c>
      <c r="C2755" s="7">
        <v>43606</v>
      </c>
      <c r="D2755" s="6">
        <v>1</v>
      </c>
      <c r="E2755" s="6">
        <v>2170689172</v>
      </c>
      <c r="F2755" s="6" t="s">
        <v>16</v>
      </c>
      <c r="G2755" s="6" t="s">
        <v>17</v>
      </c>
      <c r="H2755" s="6" t="s">
        <v>290</v>
      </c>
      <c r="I2755" s="6" t="s">
        <v>601</v>
      </c>
      <c r="J2755" s="6" t="s">
        <v>602</v>
      </c>
      <c r="K2755" s="7">
        <v>43607</v>
      </c>
      <c r="L2755" s="8">
        <v>0.56388888888888888</v>
      </c>
      <c r="M2755" s="6" t="s">
        <v>77</v>
      </c>
      <c r="N2755" s="6" t="s">
        <v>21</v>
      </c>
      <c r="O2755" s="6" t="s">
        <v>22</v>
      </c>
    </row>
    <row r="2756" spans="1:15" hidden="1">
      <c r="A2756" s="6" t="s">
        <v>15</v>
      </c>
      <c r="B2756" s="6" t="str">
        <f>"FES1162690889"</f>
        <v>FES1162690889</v>
      </c>
      <c r="C2756" s="7">
        <v>43606</v>
      </c>
      <c r="D2756" s="6">
        <v>1</v>
      </c>
      <c r="E2756" s="6">
        <v>2170687521</v>
      </c>
      <c r="F2756" s="6" t="s">
        <v>16</v>
      </c>
      <c r="G2756" s="6" t="s">
        <v>17</v>
      </c>
      <c r="H2756" s="6" t="s">
        <v>290</v>
      </c>
      <c r="I2756" s="6" t="s">
        <v>291</v>
      </c>
      <c r="J2756" s="6" t="s">
        <v>1744</v>
      </c>
      <c r="K2756" s="7">
        <v>43607</v>
      </c>
      <c r="L2756" s="8">
        <v>0.36458333333333331</v>
      </c>
      <c r="M2756" s="6" t="s">
        <v>2556</v>
      </c>
      <c r="N2756" s="6" t="s">
        <v>21</v>
      </c>
      <c r="O2756" s="6" t="s">
        <v>22</v>
      </c>
    </row>
    <row r="2757" spans="1:15">
      <c r="A2757" s="6" t="s">
        <v>15</v>
      </c>
      <c r="B2757" s="6" t="str">
        <f>"FES1162691067"</f>
        <v>FES1162691067</v>
      </c>
      <c r="C2757" s="7">
        <v>43606</v>
      </c>
      <c r="D2757" s="6">
        <v>1</v>
      </c>
      <c r="E2757" s="6">
        <v>2170689493</v>
      </c>
      <c r="F2757" s="6" t="s">
        <v>16</v>
      </c>
      <c r="G2757" s="6" t="s">
        <v>17</v>
      </c>
      <c r="H2757" s="6" t="s">
        <v>17</v>
      </c>
      <c r="I2757" s="6" t="s">
        <v>64</v>
      </c>
      <c r="J2757" s="6" t="s">
        <v>3838</v>
      </c>
      <c r="K2757" s="7">
        <v>43607</v>
      </c>
      <c r="L2757" s="8">
        <v>0.3611111111111111</v>
      </c>
      <c r="M2757" s="6" t="s">
        <v>3839</v>
      </c>
      <c r="N2757" s="6" t="s">
        <v>21</v>
      </c>
      <c r="O2757" s="6" t="s">
        <v>22</v>
      </c>
    </row>
    <row r="2758" spans="1:15">
      <c r="A2758" s="6" t="s">
        <v>15</v>
      </c>
      <c r="B2758" s="6" t="str">
        <f>"FES1162691068"</f>
        <v>FES1162691068</v>
      </c>
      <c r="C2758" s="7">
        <v>43606</v>
      </c>
      <c r="D2758" s="6">
        <v>1</v>
      </c>
      <c r="E2758" s="6">
        <v>2170689494</v>
      </c>
      <c r="F2758" s="6" t="s">
        <v>16</v>
      </c>
      <c r="G2758" s="6" t="s">
        <v>17</v>
      </c>
      <c r="H2758" s="6" t="s">
        <v>17</v>
      </c>
      <c r="I2758" s="6" t="s">
        <v>23</v>
      </c>
      <c r="J2758" s="6" t="s">
        <v>2367</v>
      </c>
      <c r="K2758" s="7">
        <v>43607</v>
      </c>
      <c r="L2758" s="8">
        <v>0.34375</v>
      </c>
      <c r="M2758" s="6" t="s">
        <v>3033</v>
      </c>
      <c r="N2758" s="6" t="s">
        <v>21</v>
      </c>
      <c r="O2758" s="6" t="s">
        <v>22</v>
      </c>
    </row>
    <row r="2759" spans="1:15" hidden="1">
      <c r="A2759" s="6" t="s">
        <v>15</v>
      </c>
      <c r="B2759" s="6" t="str">
        <f>"FES1162690559"</f>
        <v>FES1162690559</v>
      </c>
      <c r="C2759" s="7">
        <v>43606</v>
      </c>
      <c r="D2759" s="6">
        <v>1</v>
      </c>
      <c r="E2759" s="6">
        <v>2170689030</v>
      </c>
      <c r="F2759" s="6" t="s">
        <v>16</v>
      </c>
      <c r="G2759" s="6" t="s">
        <v>17</v>
      </c>
      <c r="H2759" s="6" t="s">
        <v>141</v>
      </c>
      <c r="I2759" s="6" t="s">
        <v>142</v>
      </c>
      <c r="J2759" s="6" t="s">
        <v>2719</v>
      </c>
      <c r="K2759" s="7">
        <v>43607</v>
      </c>
      <c r="L2759" s="8">
        <v>0.36249999999999999</v>
      </c>
      <c r="M2759" s="6" t="s">
        <v>2720</v>
      </c>
      <c r="N2759" s="6" t="s">
        <v>21</v>
      </c>
      <c r="O2759" s="6" t="s">
        <v>22</v>
      </c>
    </row>
    <row r="2760" spans="1:15" hidden="1">
      <c r="A2760" s="6" t="s">
        <v>15</v>
      </c>
      <c r="B2760" s="6" t="str">
        <f>"FES1162691070"</f>
        <v>FES1162691070</v>
      </c>
      <c r="C2760" s="7">
        <v>43606</v>
      </c>
      <c r="D2760" s="6">
        <v>1</v>
      </c>
      <c r="E2760" s="6">
        <v>217069496</v>
      </c>
      <c r="F2760" s="6" t="s">
        <v>16</v>
      </c>
      <c r="G2760" s="6" t="s">
        <v>17</v>
      </c>
      <c r="H2760" s="6" t="s">
        <v>141</v>
      </c>
      <c r="I2760" s="6" t="s">
        <v>185</v>
      </c>
      <c r="J2760" s="6" t="s">
        <v>473</v>
      </c>
      <c r="K2760" s="7">
        <v>43607</v>
      </c>
      <c r="L2760" s="8">
        <v>0.42777777777777781</v>
      </c>
      <c r="M2760" s="6" t="s">
        <v>3748</v>
      </c>
      <c r="N2760" s="6" t="s">
        <v>21</v>
      </c>
      <c r="O2760" s="6" t="s">
        <v>22</v>
      </c>
    </row>
    <row r="2761" spans="1:15" hidden="1">
      <c r="A2761" s="6" t="s">
        <v>15</v>
      </c>
      <c r="B2761" s="6" t="str">
        <f>"FES1162690563"</f>
        <v>FES1162690563</v>
      </c>
      <c r="C2761" s="7">
        <v>43606</v>
      </c>
      <c r="D2761" s="6">
        <v>1</v>
      </c>
      <c r="E2761" s="6">
        <v>2170689036</v>
      </c>
      <c r="F2761" s="6" t="s">
        <v>16</v>
      </c>
      <c r="G2761" s="6" t="s">
        <v>17</v>
      </c>
      <c r="H2761" s="6" t="s">
        <v>141</v>
      </c>
      <c r="I2761" s="6" t="s">
        <v>185</v>
      </c>
      <c r="J2761" s="6" t="s">
        <v>461</v>
      </c>
      <c r="K2761" s="7">
        <v>43607</v>
      </c>
      <c r="L2761" s="8">
        <v>0.43472222222222223</v>
      </c>
      <c r="M2761" s="6" t="s">
        <v>416</v>
      </c>
      <c r="N2761" s="6" t="s">
        <v>21</v>
      </c>
      <c r="O2761" s="6" t="s">
        <v>22</v>
      </c>
    </row>
    <row r="2762" spans="1:15" hidden="1">
      <c r="A2762" s="6" t="s">
        <v>15</v>
      </c>
      <c r="B2762" s="6" t="str">
        <f>"FES1162691084"</f>
        <v>FES1162691084</v>
      </c>
      <c r="C2762" s="7">
        <v>43606</v>
      </c>
      <c r="D2762" s="6">
        <v>1</v>
      </c>
      <c r="E2762" s="6">
        <v>217069512</v>
      </c>
      <c r="F2762" s="6" t="s">
        <v>16</v>
      </c>
      <c r="G2762" s="6" t="s">
        <v>17</v>
      </c>
      <c r="H2762" s="6" t="s">
        <v>132</v>
      </c>
      <c r="I2762" s="6" t="s">
        <v>133</v>
      </c>
      <c r="J2762" s="6" t="s">
        <v>238</v>
      </c>
      <c r="K2762" s="7">
        <v>43607</v>
      </c>
      <c r="L2762" s="8">
        <v>0.33333333333333331</v>
      </c>
      <c r="M2762" s="6" t="s">
        <v>3840</v>
      </c>
      <c r="N2762" s="6" t="s">
        <v>21</v>
      </c>
      <c r="O2762" s="6" t="s">
        <v>22</v>
      </c>
    </row>
    <row r="2763" spans="1:15" hidden="1">
      <c r="A2763" s="6" t="s">
        <v>15</v>
      </c>
      <c r="B2763" s="6" t="str">
        <f>"FES1162691075"</f>
        <v>FES1162691075</v>
      </c>
      <c r="C2763" s="7">
        <v>43606</v>
      </c>
      <c r="D2763" s="6">
        <v>1</v>
      </c>
      <c r="E2763" s="6">
        <v>217069502</v>
      </c>
      <c r="F2763" s="6" t="s">
        <v>16</v>
      </c>
      <c r="G2763" s="6" t="s">
        <v>17</v>
      </c>
      <c r="H2763" s="6" t="s">
        <v>141</v>
      </c>
      <c r="I2763" s="6" t="s">
        <v>142</v>
      </c>
      <c r="J2763" s="6" t="s">
        <v>864</v>
      </c>
      <c r="K2763" s="7">
        <v>43607</v>
      </c>
      <c r="L2763" s="8">
        <v>0.32916666666666666</v>
      </c>
      <c r="M2763" s="6" t="s">
        <v>3234</v>
      </c>
      <c r="N2763" s="6" t="s">
        <v>21</v>
      </c>
      <c r="O2763" s="6" t="s">
        <v>22</v>
      </c>
    </row>
    <row r="2764" spans="1:15" hidden="1">
      <c r="A2764" s="6" t="s">
        <v>15</v>
      </c>
      <c r="B2764" s="6" t="str">
        <f>"FES1162691007"</f>
        <v>FES1162691007</v>
      </c>
      <c r="C2764" s="7">
        <v>43606</v>
      </c>
      <c r="D2764" s="6">
        <v>1</v>
      </c>
      <c r="E2764" s="6">
        <v>217069425</v>
      </c>
      <c r="F2764" s="6" t="s">
        <v>16</v>
      </c>
      <c r="G2764" s="6" t="s">
        <v>17</v>
      </c>
      <c r="H2764" s="6" t="s">
        <v>440</v>
      </c>
      <c r="I2764" s="6" t="s">
        <v>1546</v>
      </c>
      <c r="J2764" s="6" t="s">
        <v>1547</v>
      </c>
      <c r="K2764" s="7">
        <v>43607</v>
      </c>
      <c r="L2764" s="8">
        <v>0.39583333333333331</v>
      </c>
      <c r="M2764" s="6" t="s">
        <v>3841</v>
      </c>
      <c r="N2764" s="6" t="s">
        <v>21</v>
      </c>
      <c r="O2764" s="6" t="s">
        <v>22</v>
      </c>
    </row>
    <row r="2765" spans="1:15" hidden="1">
      <c r="A2765" s="6" t="s">
        <v>15</v>
      </c>
      <c r="B2765" s="6" t="str">
        <f>"FES1162690555"</f>
        <v>FES1162690555</v>
      </c>
      <c r="C2765" s="7">
        <v>43606</v>
      </c>
      <c r="D2765" s="6">
        <v>1</v>
      </c>
      <c r="E2765" s="6">
        <v>2170689024</v>
      </c>
      <c r="F2765" s="6" t="s">
        <v>16</v>
      </c>
      <c r="G2765" s="6" t="s">
        <v>17</v>
      </c>
      <c r="H2765" s="6" t="s">
        <v>141</v>
      </c>
      <c r="I2765" s="6" t="s">
        <v>142</v>
      </c>
      <c r="J2765" s="6" t="s">
        <v>1819</v>
      </c>
      <c r="K2765" s="7">
        <v>43607</v>
      </c>
      <c r="L2765" s="8">
        <v>0.32916666666666666</v>
      </c>
      <c r="M2765" s="6" t="s">
        <v>3842</v>
      </c>
      <c r="N2765" s="6" t="s">
        <v>21</v>
      </c>
      <c r="O2765" s="6" t="s">
        <v>22</v>
      </c>
    </row>
    <row r="2766" spans="1:15" hidden="1">
      <c r="A2766" s="6" t="s">
        <v>15</v>
      </c>
      <c r="B2766" s="6" t="str">
        <f>"FES1162690556"</f>
        <v>FES1162690556</v>
      </c>
      <c r="C2766" s="7">
        <v>43606</v>
      </c>
      <c r="D2766" s="6">
        <v>1</v>
      </c>
      <c r="E2766" s="6">
        <v>2170689025</v>
      </c>
      <c r="F2766" s="6" t="s">
        <v>16</v>
      </c>
      <c r="G2766" s="6" t="s">
        <v>17</v>
      </c>
      <c r="H2766" s="6" t="s">
        <v>141</v>
      </c>
      <c r="I2766" s="6" t="s">
        <v>142</v>
      </c>
      <c r="J2766" s="6" t="s">
        <v>3843</v>
      </c>
      <c r="K2766" s="7">
        <v>43607</v>
      </c>
      <c r="L2766" s="8">
        <v>0.34722222222222227</v>
      </c>
      <c r="M2766" s="6" t="s">
        <v>3844</v>
      </c>
      <c r="N2766" s="6" t="s">
        <v>21</v>
      </c>
      <c r="O2766" s="6" t="s">
        <v>22</v>
      </c>
    </row>
    <row r="2767" spans="1:15">
      <c r="A2767" s="6" t="s">
        <v>15</v>
      </c>
      <c r="B2767" s="6" t="str">
        <f>"FES1162690788"</f>
        <v>FES1162690788</v>
      </c>
      <c r="C2767" s="7">
        <v>43606</v>
      </c>
      <c r="D2767" s="6">
        <v>1</v>
      </c>
      <c r="E2767" s="6">
        <v>2170688873</v>
      </c>
      <c r="F2767" s="6" t="s">
        <v>16</v>
      </c>
      <c r="G2767" s="6" t="s">
        <v>17</v>
      </c>
      <c r="H2767" s="6" t="s">
        <v>17</v>
      </c>
      <c r="I2767" s="6" t="s">
        <v>26</v>
      </c>
      <c r="J2767" s="6" t="s">
        <v>2386</v>
      </c>
      <c r="K2767" s="7">
        <v>43607</v>
      </c>
      <c r="L2767" s="8">
        <v>0.4375</v>
      </c>
      <c r="M2767" s="6" t="s">
        <v>3845</v>
      </c>
      <c r="N2767" s="6" t="s">
        <v>21</v>
      </c>
      <c r="O2767" s="6" t="s">
        <v>22</v>
      </c>
    </row>
    <row r="2768" spans="1:15">
      <c r="A2768" s="6" t="s">
        <v>15</v>
      </c>
      <c r="B2768" s="6" t="str">
        <f>"FES1162691107"</f>
        <v>FES1162691107</v>
      </c>
      <c r="C2768" s="7">
        <v>43606</v>
      </c>
      <c r="D2768" s="6">
        <v>1</v>
      </c>
      <c r="E2768" s="6">
        <v>2170689333</v>
      </c>
      <c r="F2768" s="6" t="s">
        <v>16</v>
      </c>
      <c r="G2768" s="6" t="s">
        <v>17</v>
      </c>
      <c r="H2768" s="6" t="s">
        <v>17</v>
      </c>
      <c r="I2768" s="6" t="s">
        <v>64</v>
      </c>
      <c r="J2768" s="6" t="s">
        <v>3846</v>
      </c>
      <c r="K2768" s="7">
        <v>43607</v>
      </c>
      <c r="L2768" s="8">
        <v>0.41736111111111113</v>
      </c>
      <c r="M2768" s="6" t="s">
        <v>3847</v>
      </c>
      <c r="N2768" s="6" t="s">
        <v>21</v>
      </c>
      <c r="O2768" s="6" t="s">
        <v>22</v>
      </c>
    </row>
    <row r="2769" spans="1:15" hidden="1">
      <c r="A2769" s="6" t="s">
        <v>15</v>
      </c>
      <c r="B2769" s="6" t="str">
        <f>"FES1162691002"</f>
        <v>FES1162691002</v>
      </c>
      <c r="C2769" s="7">
        <v>43606</v>
      </c>
      <c r="D2769" s="6">
        <v>1</v>
      </c>
      <c r="E2769" s="6">
        <v>2170689184</v>
      </c>
      <c r="F2769" s="6" t="s">
        <v>16</v>
      </c>
      <c r="G2769" s="6" t="s">
        <v>17</v>
      </c>
      <c r="H2769" s="6" t="s">
        <v>141</v>
      </c>
      <c r="I2769" s="6" t="s">
        <v>142</v>
      </c>
      <c r="J2769" s="6" t="s">
        <v>213</v>
      </c>
      <c r="K2769" s="7">
        <v>43607</v>
      </c>
      <c r="L2769" s="8">
        <v>0.35694444444444445</v>
      </c>
      <c r="M2769" s="6" t="s">
        <v>214</v>
      </c>
      <c r="N2769" s="6" t="s">
        <v>21</v>
      </c>
      <c r="O2769" s="6" t="s">
        <v>22</v>
      </c>
    </row>
    <row r="2770" spans="1:15" hidden="1">
      <c r="A2770" s="6" t="s">
        <v>15</v>
      </c>
      <c r="B2770" s="6" t="str">
        <f>"FES1162691052"</f>
        <v>FES1162691052</v>
      </c>
      <c r="C2770" s="7">
        <v>43606</v>
      </c>
      <c r="D2770" s="6">
        <v>1</v>
      </c>
      <c r="E2770" s="6">
        <v>2170689481</v>
      </c>
      <c r="F2770" s="6" t="s">
        <v>16</v>
      </c>
      <c r="G2770" s="6" t="s">
        <v>17</v>
      </c>
      <c r="H2770" s="6" t="s">
        <v>141</v>
      </c>
      <c r="I2770" s="6" t="s">
        <v>142</v>
      </c>
      <c r="J2770" s="6" t="s">
        <v>3848</v>
      </c>
      <c r="K2770" s="7">
        <v>43607</v>
      </c>
      <c r="L2770" s="8">
        <v>0.33055555555555555</v>
      </c>
      <c r="M2770" s="6" t="s">
        <v>3849</v>
      </c>
      <c r="N2770" s="6" t="s">
        <v>21</v>
      </c>
      <c r="O2770" s="6" t="s">
        <v>22</v>
      </c>
    </row>
    <row r="2771" spans="1:15">
      <c r="A2771" s="6" t="s">
        <v>15</v>
      </c>
      <c r="B2771" s="6" t="str">
        <f>"FES1162691091"</f>
        <v>FES1162691091</v>
      </c>
      <c r="C2771" s="7">
        <v>43606</v>
      </c>
      <c r="D2771" s="6">
        <v>1</v>
      </c>
      <c r="E2771" s="6">
        <v>21706892525</v>
      </c>
      <c r="F2771" s="6" t="s">
        <v>16</v>
      </c>
      <c r="G2771" s="6" t="s">
        <v>17</v>
      </c>
      <c r="H2771" s="6" t="s">
        <v>17</v>
      </c>
      <c r="I2771" s="6" t="s">
        <v>18</v>
      </c>
      <c r="J2771" s="6" t="s">
        <v>19</v>
      </c>
      <c r="K2771" s="7">
        <v>43607</v>
      </c>
      <c r="L2771" s="8">
        <v>0.38819444444444445</v>
      </c>
      <c r="M2771" s="6" t="s">
        <v>3850</v>
      </c>
      <c r="N2771" s="6" t="s">
        <v>21</v>
      </c>
      <c r="O2771" s="6" t="s">
        <v>22</v>
      </c>
    </row>
    <row r="2772" spans="1:15" hidden="1">
      <c r="A2772" s="6" t="s">
        <v>15</v>
      </c>
      <c r="B2772" s="6" t="str">
        <f>"FES1162690560"</f>
        <v>FES1162690560</v>
      </c>
      <c r="C2772" s="7">
        <v>43606</v>
      </c>
      <c r="D2772" s="6">
        <v>1</v>
      </c>
      <c r="E2772" s="6">
        <v>2170689033</v>
      </c>
      <c r="F2772" s="6" t="s">
        <v>16</v>
      </c>
      <c r="G2772" s="6" t="s">
        <v>17</v>
      </c>
      <c r="H2772" s="6" t="s">
        <v>141</v>
      </c>
      <c r="I2772" s="6" t="s">
        <v>142</v>
      </c>
      <c r="J2772" s="6" t="s">
        <v>976</v>
      </c>
      <c r="K2772" s="7">
        <v>43607</v>
      </c>
      <c r="L2772" s="8">
        <v>0.43402777777777773</v>
      </c>
      <c r="M2772" s="6" t="s">
        <v>3075</v>
      </c>
      <c r="N2772" s="6" t="s">
        <v>21</v>
      </c>
      <c r="O2772" s="6" t="s">
        <v>22</v>
      </c>
    </row>
    <row r="2773" spans="1:15">
      <c r="A2773" s="6" t="s">
        <v>15</v>
      </c>
      <c r="B2773" s="6" t="str">
        <f>"FES1162690761"</f>
        <v>FES1162690761</v>
      </c>
      <c r="C2773" s="7">
        <v>43606</v>
      </c>
      <c r="D2773" s="6">
        <v>1</v>
      </c>
      <c r="E2773" s="6">
        <v>2170689240</v>
      </c>
      <c r="F2773" s="6" t="s">
        <v>16</v>
      </c>
      <c r="G2773" s="6" t="s">
        <v>17</v>
      </c>
      <c r="H2773" s="6" t="s">
        <v>17</v>
      </c>
      <c r="I2773" s="6" t="s">
        <v>701</v>
      </c>
      <c r="J2773" s="6" t="s">
        <v>3851</v>
      </c>
      <c r="K2773" s="7">
        <v>43607</v>
      </c>
      <c r="L2773" s="8">
        <v>0.38194444444444442</v>
      </c>
      <c r="M2773" s="6" t="s">
        <v>3852</v>
      </c>
      <c r="N2773" s="6" t="s">
        <v>21</v>
      </c>
      <c r="O2773" s="6" t="s">
        <v>22</v>
      </c>
    </row>
    <row r="2774" spans="1:15" hidden="1">
      <c r="A2774" s="6" t="s">
        <v>15</v>
      </c>
      <c r="B2774" s="6" t="str">
        <f>"FES1162691095"</f>
        <v>FES1162691095</v>
      </c>
      <c r="C2774" s="7">
        <v>43606</v>
      </c>
      <c r="D2774" s="6">
        <v>1</v>
      </c>
      <c r="E2774" s="6">
        <v>2170689533</v>
      </c>
      <c r="F2774" s="6" t="s">
        <v>16</v>
      </c>
      <c r="G2774" s="6" t="s">
        <v>17</v>
      </c>
      <c r="H2774" s="6" t="s">
        <v>132</v>
      </c>
      <c r="I2774" s="6" t="s">
        <v>133</v>
      </c>
      <c r="J2774" s="6" t="s">
        <v>639</v>
      </c>
      <c r="K2774" s="7">
        <v>43607</v>
      </c>
      <c r="L2774" s="8">
        <v>0.3743055555555555</v>
      </c>
      <c r="M2774" s="6" t="s">
        <v>3853</v>
      </c>
      <c r="N2774" s="6" t="s">
        <v>21</v>
      </c>
      <c r="O2774" s="6" t="s">
        <v>22</v>
      </c>
    </row>
    <row r="2775" spans="1:15">
      <c r="A2775" s="6" t="s">
        <v>15</v>
      </c>
      <c r="B2775" s="6" t="str">
        <f>"FES1162691103"</f>
        <v>FES1162691103</v>
      </c>
      <c r="C2775" s="7">
        <v>43606</v>
      </c>
      <c r="D2775" s="6">
        <v>1</v>
      </c>
      <c r="E2775" s="6">
        <v>2170683480</v>
      </c>
      <c r="F2775" s="6" t="s">
        <v>16</v>
      </c>
      <c r="G2775" s="6" t="s">
        <v>17</v>
      </c>
      <c r="H2775" s="6" t="s">
        <v>17</v>
      </c>
      <c r="I2775" s="6" t="s">
        <v>18</v>
      </c>
      <c r="J2775" s="6" t="s">
        <v>89</v>
      </c>
      <c r="K2775" s="7">
        <v>43607</v>
      </c>
      <c r="L2775" s="8">
        <v>0.35347222222222219</v>
      </c>
      <c r="M2775" s="6" t="s">
        <v>120</v>
      </c>
      <c r="N2775" s="6" t="s">
        <v>21</v>
      </c>
      <c r="O2775" s="6" t="s">
        <v>22</v>
      </c>
    </row>
    <row r="2776" spans="1:15">
      <c r="A2776" s="6" t="s">
        <v>15</v>
      </c>
      <c r="B2776" s="6" t="str">
        <f>"FES1162691104"</f>
        <v>FES1162691104</v>
      </c>
      <c r="C2776" s="7">
        <v>43606</v>
      </c>
      <c r="D2776" s="6">
        <v>1</v>
      </c>
      <c r="E2776" s="6">
        <v>2170684823</v>
      </c>
      <c r="F2776" s="6" t="s">
        <v>16</v>
      </c>
      <c r="G2776" s="6" t="s">
        <v>17</v>
      </c>
      <c r="H2776" s="6" t="s">
        <v>17</v>
      </c>
      <c r="I2776" s="6" t="s">
        <v>18</v>
      </c>
      <c r="J2776" s="6" t="s">
        <v>89</v>
      </c>
      <c r="K2776" s="7">
        <v>43607</v>
      </c>
      <c r="L2776" s="8">
        <v>0.35416666666666669</v>
      </c>
      <c r="M2776" s="6" t="s">
        <v>120</v>
      </c>
      <c r="N2776" s="6" t="s">
        <v>21</v>
      </c>
      <c r="O2776" s="6" t="s">
        <v>22</v>
      </c>
    </row>
    <row r="2777" spans="1:15" hidden="1">
      <c r="A2777" s="6" t="s">
        <v>15</v>
      </c>
      <c r="B2777" s="6" t="str">
        <f>"FES1162691037"</f>
        <v>FES1162691037</v>
      </c>
      <c r="C2777" s="7">
        <v>43606</v>
      </c>
      <c r="D2777" s="6">
        <v>1</v>
      </c>
      <c r="E2777" s="6">
        <v>2170689460</v>
      </c>
      <c r="F2777" s="6" t="s">
        <v>16</v>
      </c>
      <c r="G2777" s="6" t="s">
        <v>17</v>
      </c>
      <c r="H2777" s="6" t="s">
        <v>141</v>
      </c>
      <c r="I2777" s="6" t="s">
        <v>142</v>
      </c>
      <c r="J2777" s="6" t="s">
        <v>228</v>
      </c>
      <c r="K2777" s="7">
        <v>43607</v>
      </c>
      <c r="L2777" s="8">
        <v>0.33055555555555555</v>
      </c>
      <c r="M2777" s="6" t="s">
        <v>229</v>
      </c>
      <c r="N2777" s="6" t="s">
        <v>21</v>
      </c>
      <c r="O2777" s="6" t="s">
        <v>22</v>
      </c>
    </row>
    <row r="2778" spans="1:15" hidden="1">
      <c r="A2778" s="6" t="s">
        <v>15</v>
      </c>
      <c r="B2778" s="6" t="str">
        <f>"FES1162691106"</f>
        <v>FES1162691106</v>
      </c>
      <c r="C2778" s="7">
        <v>43606</v>
      </c>
      <c r="D2778" s="6">
        <v>1</v>
      </c>
      <c r="E2778" s="6">
        <v>2170689329</v>
      </c>
      <c r="F2778" s="6" t="s">
        <v>16</v>
      </c>
      <c r="G2778" s="6" t="s">
        <v>17</v>
      </c>
      <c r="H2778" s="6" t="s">
        <v>43</v>
      </c>
      <c r="I2778" s="6" t="s">
        <v>44</v>
      </c>
      <c r="J2778" s="6" t="s">
        <v>3770</v>
      </c>
      <c r="K2778" s="7">
        <v>43607</v>
      </c>
      <c r="L2778" s="8">
        <v>0.42569444444444443</v>
      </c>
      <c r="M2778" s="6" t="s">
        <v>3771</v>
      </c>
      <c r="N2778" s="6" t="s">
        <v>21</v>
      </c>
      <c r="O2778" s="6" t="s">
        <v>22</v>
      </c>
    </row>
    <row r="2779" spans="1:15">
      <c r="A2779" s="6" t="s">
        <v>15</v>
      </c>
      <c r="B2779" s="6" t="str">
        <f>"FES1162691089"</f>
        <v>FES1162691089</v>
      </c>
      <c r="C2779" s="7">
        <v>43606</v>
      </c>
      <c r="D2779" s="6">
        <v>1</v>
      </c>
      <c r="E2779" s="6">
        <v>2170689509</v>
      </c>
      <c r="F2779" s="6" t="s">
        <v>16</v>
      </c>
      <c r="G2779" s="6" t="s">
        <v>17</v>
      </c>
      <c r="H2779" s="6" t="s">
        <v>17</v>
      </c>
      <c r="I2779" s="6" t="s">
        <v>613</v>
      </c>
      <c r="J2779" s="6" t="s">
        <v>1853</v>
      </c>
      <c r="K2779" s="7">
        <v>43607</v>
      </c>
      <c r="L2779" s="8">
        <v>0.33333333333333331</v>
      </c>
      <c r="M2779" s="6" t="s">
        <v>1854</v>
      </c>
      <c r="N2779" s="6" t="s">
        <v>21</v>
      </c>
      <c r="O2779" s="6" t="s">
        <v>22</v>
      </c>
    </row>
    <row r="2780" spans="1:15">
      <c r="A2780" s="6" t="s">
        <v>15</v>
      </c>
      <c r="B2780" s="6" t="str">
        <f>"FES1162691061"</f>
        <v>FES1162691061</v>
      </c>
      <c r="C2780" s="7">
        <v>43606</v>
      </c>
      <c r="D2780" s="6">
        <v>1</v>
      </c>
      <c r="E2780" s="6">
        <v>2170689269</v>
      </c>
      <c r="F2780" s="6" t="s">
        <v>16</v>
      </c>
      <c r="G2780" s="6" t="s">
        <v>17</v>
      </c>
      <c r="H2780" s="6" t="s">
        <v>17</v>
      </c>
      <c r="I2780" s="6" t="s">
        <v>29</v>
      </c>
      <c r="J2780" s="6" t="s">
        <v>3854</v>
      </c>
      <c r="K2780" s="7">
        <v>43607</v>
      </c>
      <c r="L2780" s="8">
        <v>0.33333333333333331</v>
      </c>
      <c r="M2780" s="6" t="s">
        <v>3855</v>
      </c>
      <c r="N2780" s="6" t="s">
        <v>21</v>
      </c>
      <c r="O2780" s="6" t="s">
        <v>22</v>
      </c>
    </row>
    <row r="2781" spans="1:15" hidden="1">
      <c r="A2781" s="6" t="s">
        <v>15</v>
      </c>
      <c r="B2781" s="6" t="str">
        <f>"FES1162691000"</f>
        <v>FES1162691000</v>
      </c>
      <c r="C2781" s="7">
        <v>43606</v>
      </c>
      <c r="D2781" s="6">
        <v>1</v>
      </c>
      <c r="E2781" s="6">
        <v>2170688960</v>
      </c>
      <c r="F2781" s="6" t="s">
        <v>16</v>
      </c>
      <c r="G2781" s="6" t="s">
        <v>17</v>
      </c>
      <c r="H2781" s="6" t="s">
        <v>43</v>
      </c>
      <c r="I2781" s="6" t="s">
        <v>44</v>
      </c>
      <c r="J2781" s="6" t="s">
        <v>353</v>
      </c>
      <c r="K2781" s="7">
        <v>43607</v>
      </c>
      <c r="L2781" s="8">
        <v>0.37291666666666662</v>
      </c>
      <c r="M2781" s="6" t="s">
        <v>1757</v>
      </c>
      <c r="N2781" s="6" t="s">
        <v>21</v>
      </c>
      <c r="O2781" s="6" t="s">
        <v>22</v>
      </c>
    </row>
    <row r="2782" spans="1:15" hidden="1">
      <c r="A2782" s="6" t="s">
        <v>15</v>
      </c>
      <c r="B2782" s="6" t="str">
        <f>"FES1162691108"</f>
        <v>FES1162691108</v>
      </c>
      <c r="C2782" s="7">
        <v>43606</v>
      </c>
      <c r="D2782" s="6">
        <v>1</v>
      </c>
      <c r="E2782" s="6">
        <v>2170689541</v>
      </c>
      <c r="F2782" s="6" t="s">
        <v>16</v>
      </c>
      <c r="G2782" s="6" t="s">
        <v>17</v>
      </c>
      <c r="H2782" s="6" t="s">
        <v>43</v>
      </c>
      <c r="I2782" s="6" t="s">
        <v>44</v>
      </c>
      <c r="J2782" s="6" t="s">
        <v>938</v>
      </c>
      <c r="K2782" s="7">
        <v>43607</v>
      </c>
      <c r="L2782" s="8">
        <v>0.31597222222222221</v>
      </c>
      <c r="M2782" s="6" t="s">
        <v>939</v>
      </c>
      <c r="N2782" s="6" t="s">
        <v>21</v>
      </c>
      <c r="O2782" s="6" t="s">
        <v>22</v>
      </c>
    </row>
    <row r="2783" spans="1:15" hidden="1">
      <c r="A2783" s="6" t="s">
        <v>15</v>
      </c>
      <c r="B2783" s="6" t="str">
        <f>"FES1162691094"</f>
        <v>FES1162691094</v>
      </c>
      <c r="C2783" s="7">
        <v>43606</v>
      </c>
      <c r="D2783" s="6">
        <v>1</v>
      </c>
      <c r="E2783" s="6">
        <v>2170689531</v>
      </c>
      <c r="F2783" s="6" t="s">
        <v>16</v>
      </c>
      <c r="G2783" s="6" t="s">
        <v>17</v>
      </c>
      <c r="H2783" s="6" t="s">
        <v>43</v>
      </c>
      <c r="I2783" s="6" t="s">
        <v>44</v>
      </c>
      <c r="J2783" s="6" t="s">
        <v>3856</v>
      </c>
      <c r="K2783" s="7">
        <v>43607</v>
      </c>
      <c r="L2783" s="8">
        <v>0.42083333333333334</v>
      </c>
      <c r="M2783" s="6" t="s">
        <v>1297</v>
      </c>
      <c r="N2783" s="6" t="s">
        <v>21</v>
      </c>
      <c r="O2783" s="6" t="s">
        <v>22</v>
      </c>
    </row>
    <row r="2784" spans="1:15">
      <c r="A2784" s="6" t="s">
        <v>15</v>
      </c>
      <c r="B2784" s="6" t="str">
        <f>"FES1162691062"</f>
        <v>FES1162691062</v>
      </c>
      <c r="C2784" s="7">
        <v>43606</v>
      </c>
      <c r="D2784" s="6">
        <v>1</v>
      </c>
      <c r="E2784" s="6">
        <v>2170689477</v>
      </c>
      <c r="F2784" s="6" t="s">
        <v>16</v>
      </c>
      <c r="G2784" s="6" t="s">
        <v>17</v>
      </c>
      <c r="H2784" s="6" t="s">
        <v>17</v>
      </c>
      <c r="I2784" s="6" t="s">
        <v>3857</v>
      </c>
      <c r="J2784" s="6" t="s">
        <v>3858</v>
      </c>
      <c r="K2784" s="7">
        <v>43607</v>
      </c>
      <c r="L2784" s="8">
        <v>0.43055555555555558</v>
      </c>
      <c r="M2784" s="6" t="s">
        <v>46</v>
      </c>
      <c r="N2784" s="6" t="s">
        <v>21</v>
      </c>
      <c r="O2784" s="6" t="s">
        <v>22</v>
      </c>
    </row>
    <row r="2785" spans="1:15" hidden="1">
      <c r="A2785" s="6" t="s">
        <v>15</v>
      </c>
      <c r="B2785" s="6" t="str">
        <f>"FES1162691085"</f>
        <v>FES1162691085</v>
      </c>
      <c r="C2785" s="7">
        <v>43606</v>
      </c>
      <c r="D2785" s="6">
        <v>1</v>
      </c>
      <c r="E2785" s="6">
        <v>2170689514</v>
      </c>
      <c r="F2785" s="6" t="s">
        <v>16</v>
      </c>
      <c r="G2785" s="6" t="s">
        <v>17</v>
      </c>
      <c r="H2785" s="6" t="s">
        <v>290</v>
      </c>
      <c r="I2785" s="6" t="s">
        <v>291</v>
      </c>
      <c r="J2785" s="6" t="s">
        <v>297</v>
      </c>
      <c r="K2785" s="7">
        <v>43607</v>
      </c>
      <c r="L2785" s="8">
        <v>0.3347222222222222</v>
      </c>
      <c r="M2785" s="6" t="s">
        <v>3772</v>
      </c>
      <c r="N2785" s="6" t="s">
        <v>21</v>
      </c>
      <c r="O2785" s="6" t="s">
        <v>22</v>
      </c>
    </row>
    <row r="2786" spans="1:15" hidden="1">
      <c r="A2786" s="14" t="s">
        <v>15</v>
      </c>
      <c r="B2786" s="14" t="str">
        <f>"009935791942"</f>
        <v>009935791942</v>
      </c>
      <c r="C2786" s="15">
        <v>43606</v>
      </c>
      <c r="D2786" s="14">
        <v>1</v>
      </c>
      <c r="E2786" s="14" t="s">
        <v>3859</v>
      </c>
      <c r="F2786" s="14" t="s">
        <v>16</v>
      </c>
      <c r="G2786" s="14" t="s">
        <v>17</v>
      </c>
      <c r="H2786" s="14" t="s">
        <v>141</v>
      </c>
      <c r="I2786" s="14" t="s">
        <v>142</v>
      </c>
      <c r="J2786" s="14" t="s">
        <v>3860</v>
      </c>
      <c r="K2786" s="15">
        <v>43607</v>
      </c>
      <c r="L2786" s="16">
        <v>0.3354166666666667</v>
      </c>
      <c r="M2786" s="14" t="s">
        <v>3861</v>
      </c>
      <c r="N2786" s="14" t="s">
        <v>21</v>
      </c>
      <c r="O2786" s="14" t="s">
        <v>22</v>
      </c>
    </row>
    <row r="2787" spans="1:15" ht="15.75" thickBot="1">
      <c r="A2787" s="11" t="s">
        <v>15</v>
      </c>
      <c r="B2787" s="11" t="str">
        <f>"009936741525"</f>
        <v>009936741525</v>
      </c>
      <c r="C2787" s="12">
        <v>43606</v>
      </c>
      <c r="D2787" s="11">
        <v>1</v>
      </c>
      <c r="E2787" s="11" t="s">
        <v>1060</v>
      </c>
      <c r="F2787" s="11" t="s">
        <v>16</v>
      </c>
      <c r="G2787" s="11" t="s">
        <v>322</v>
      </c>
      <c r="H2787" s="11" t="s">
        <v>17</v>
      </c>
      <c r="I2787" s="11" t="s">
        <v>18</v>
      </c>
      <c r="J2787" s="11" t="s">
        <v>2931</v>
      </c>
      <c r="K2787" s="12">
        <v>43607</v>
      </c>
      <c r="L2787" s="13">
        <v>0.34236111111111112</v>
      </c>
      <c r="M2787" s="11" t="s">
        <v>3862</v>
      </c>
      <c r="N2787" s="11" t="s">
        <v>21</v>
      </c>
      <c r="O2787" s="11" t="s">
        <v>22</v>
      </c>
    </row>
    <row r="2788" spans="1:15" hidden="1">
      <c r="A2788" s="20" t="s">
        <v>15</v>
      </c>
      <c r="B2788" s="20" t="str">
        <f>"FES1162691208"</f>
        <v>FES1162691208</v>
      </c>
      <c r="C2788" s="21">
        <v>43607</v>
      </c>
      <c r="D2788" s="20">
        <v>1</v>
      </c>
      <c r="E2788" s="20">
        <v>2170687294</v>
      </c>
      <c r="F2788" s="20" t="s">
        <v>16</v>
      </c>
      <c r="G2788" s="20" t="s">
        <v>17</v>
      </c>
      <c r="H2788" s="20" t="s">
        <v>290</v>
      </c>
      <c r="I2788" s="20" t="s">
        <v>291</v>
      </c>
      <c r="J2788" s="20" t="s">
        <v>1187</v>
      </c>
      <c r="K2788" s="21">
        <v>43608</v>
      </c>
      <c r="L2788" s="22">
        <v>0.40208333333333335</v>
      </c>
      <c r="M2788" s="20" t="s">
        <v>2560</v>
      </c>
      <c r="N2788" s="20" t="s">
        <v>21</v>
      </c>
      <c r="O2788" s="20" t="s">
        <v>22</v>
      </c>
    </row>
    <row r="2789" spans="1:15">
      <c r="A2789" s="6" t="s">
        <v>15</v>
      </c>
      <c r="B2789" s="6" t="str">
        <f>"R009935723273"</f>
        <v>R009935723273</v>
      </c>
      <c r="C2789" s="7">
        <v>43607</v>
      </c>
      <c r="D2789" s="6">
        <v>1</v>
      </c>
      <c r="E2789" s="6">
        <v>1162682611</v>
      </c>
      <c r="F2789" s="6" t="s">
        <v>16</v>
      </c>
      <c r="G2789" s="6" t="s">
        <v>290</v>
      </c>
      <c r="H2789" s="6" t="s">
        <v>17</v>
      </c>
      <c r="I2789" s="6" t="s">
        <v>64</v>
      </c>
      <c r="J2789" s="6" t="s">
        <v>476</v>
      </c>
      <c r="K2789" s="7">
        <v>43608</v>
      </c>
      <c r="L2789" s="8">
        <v>0.3756944444444445</v>
      </c>
      <c r="M2789" s="6" t="s">
        <v>477</v>
      </c>
      <c r="N2789" s="6" t="s">
        <v>21</v>
      </c>
      <c r="O2789" s="6" t="s">
        <v>605</v>
      </c>
    </row>
    <row r="2790" spans="1:15">
      <c r="A2790" s="6" t="s">
        <v>15</v>
      </c>
      <c r="B2790" s="6" t="str">
        <f>"FES1162691173"</f>
        <v>FES1162691173</v>
      </c>
      <c r="C2790" s="7">
        <v>43607</v>
      </c>
      <c r="D2790" s="6">
        <v>1</v>
      </c>
      <c r="E2790" s="6">
        <v>2170689582</v>
      </c>
      <c r="F2790" s="6" t="s">
        <v>16</v>
      </c>
      <c r="G2790" s="6" t="s">
        <v>17</v>
      </c>
      <c r="H2790" s="6" t="s">
        <v>17</v>
      </c>
      <c r="I2790" s="6" t="s">
        <v>18</v>
      </c>
      <c r="J2790" s="6" t="s">
        <v>160</v>
      </c>
      <c r="K2790" s="7">
        <v>43608</v>
      </c>
      <c r="L2790" s="8">
        <v>0.33888888888888885</v>
      </c>
      <c r="M2790" s="6" t="s">
        <v>3863</v>
      </c>
      <c r="N2790" s="14" t="s">
        <v>21</v>
      </c>
      <c r="O2790" s="6" t="s">
        <v>22</v>
      </c>
    </row>
    <row r="2791" spans="1:15">
      <c r="A2791" s="6" t="s">
        <v>15</v>
      </c>
      <c r="B2791" s="6" t="str">
        <f>"FES1162690784"</f>
        <v>FES1162690784</v>
      </c>
      <c r="C2791" s="7">
        <v>43607</v>
      </c>
      <c r="D2791" s="6">
        <v>1</v>
      </c>
      <c r="E2791" s="6">
        <v>2170689263</v>
      </c>
      <c r="F2791" s="6" t="s">
        <v>16</v>
      </c>
      <c r="G2791" s="6" t="s">
        <v>17</v>
      </c>
      <c r="H2791" s="6" t="s">
        <v>17</v>
      </c>
      <c r="I2791" s="6" t="s">
        <v>64</v>
      </c>
      <c r="J2791" s="6" t="s">
        <v>3818</v>
      </c>
      <c r="K2791" s="7">
        <v>43608</v>
      </c>
      <c r="L2791" s="8">
        <v>0.33333333333333331</v>
      </c>
      <c r="M2791" s="6" t="s">
        <v>873</v>
      </c>
      <c r="N2791" s="14" t="s">
        <v>21</v>
      </c>
      <c r="O2791" s="6" t="s">
        <v>22</v>
      </c>
    </row>
    <row r="2792" spans="1:15">
      <c r="A2792" s="6" t="s">
        <v>15</v>
      </c>
      <c r="B2792" s="6" t="str">
        <f>"FES1162691146"</f>
        <v>FES1162691146</v>
      </c>
      <c r="C2792" s="7">
        <v>43607</v>
      </c>
      <c r="D2792" s="6">
        <v>1</v>
      </c>
      <c r="E2792" s="6">
        <v>2170695848</v>
      </c>
      <c r="F2792" s="6" t="s">
        <v>16</v>
      </c>
      <c r="G2792" s="6" t="s">
        <v>17</v>
      </c>
      <c r="H2792" s="6" t="s">
        <v>17</v>
      </c>
      <c r="I2792" s="6" t="s">
        <v>18</v>
      </c>
      <c r="J2792" s="6" t="s">
        <v>19</v>
      </c>
      <c r="K2792" s="7">
        <v>43608</v>
      </c>
      <c r="L2792" s="8">
        <v>0.41875000000000001</v>
      </c>
      <c r="M2792" s="6" t="s">
        <v>325</v>
      </c>
      <c r="N2792" s="14" t="s">
        <v>21</v>
      </c>
      <c r="O2792" s="6" t="s">
        <v>22</v>
      </c>
    </row>
    <row r="2793" spans="1:15">
      <c r="A2793" s="6" t="s">
        <v>15</v>
      </c>
      <c r="B2793" s="6" t="str">
        <f>"FES1162691112"</f>
        <v>FES1162691112</v>
      </c>
      <c r="C2793" s="7">
        <v>43607</v>
      </c>
      <c r="D2793" s="6">
        <v>1</v>
      </c>
      <c r="E2793" s="6">
        <v>2170680613</v>
      </c>
      <c r="F2793" s="6" t="s">
        <v>16</v>
      </c>
      <c r="G2793" s="6" t="s">
        <v>17</v>
      </c>
      <c r="H2793" s="6" t="s">
        <v>17</v>
      </c>
      <c r="I2793" s="6" t="s">
        <v>67</v>
      </c>
      <c r="J2793" s="6" t="s">
        <v>609</v>
      </c>
      <c r="K2793" s="7">
        <v>43608</v>
      </c>
      <c r="L2793" s="8">
        <v>0.44444444444444442</v>
      </c>
      <c r="M2793" s="6" t="s">
        <v>3864</v>
      </c>
      <c r="N2793" s="14" t="s">
        <v>21</v>
      </c>
      <c r="O2793" s="6" t="s">
        <v>22</v>
      </c>
    </row>
    <row r="2794" spans="1:15">
      <c r="A2794" s="6" t="s">
        <v>15</v>
      </c>
      <c r="B2794" s="6" t="str">
        <f>"FES1162690781"</f>
        <v>FES1162690781</v>
      </c>
      <c r="C2794" s="7">
        <v>43607</v>
      </c>
      <c r="D2794" s="6">
        <v>1</v>
      </c>
      <c r="E2794" s="6">
        <v>2170689259</v>
      </c>
      <c r="F2794" s="6" t="s">
        <v>16</v>
      </c>
      <c r="G2794" s="6" t="s">
        <v>17</v>
      </c>
      <c r="H2794" s="6" t="s">
        <v>17</v>
      </c>
      <c r="I2794" s="6" t="s">
        <v>18</v>
      </c>
      <c r="J2794" s="6" t="s">
        <v>19</v>
      </c>
      <c r="K2794" s="7">
        <v>43608</v>
      </c>
      <c r="L2794" s="8">
        <v>0.41875000000000001</v>
      </c>
      <c r="M2794" s="6" t="s">
        <v>325</v>
      </c>
      <c r="N2794" s="14" t="s">
        <v>21</v>
      </c>
      <c r="O2794" s="6" t="s">
        <v>22</v>
      </c>
    </row>
    <row r="2795" spans="1:15">
      <c r="A2795" s="6" t="s">
        <v>15</v>
      </c>
      <c r="B2795" s="6" t="str">
        <f>"FES1162691129"</f>
        <v>FES1162691129</v>
      </c>
      <c r="C2795" s="7">
        <v>43607</v>
      </c>
      <c r="D2795" s="6">
        <v>1</v>
      </c>
      <c r="E2795" s="6">
        <v>2170688079</v>
      </c>
      <c r="F2795" s="6" t="s">
        <v>16</v>
      </c>
      <c r="G2795" s="6" t="s">
        <v>17</v>
      </c>
      <c r="H2795" s="6" t="s">
        <v>17</v>
      </c>
      <c r="I2795" s="6" t="s">
        <v>67</v>
      </c>
      <c r="J2795" s="6" t="s">
        <v>1621</v>
      </c>
      <c r="K2795" s="7">
        <v>43608</v>
      </c>
      <c r="L2795" s="8">
        <v>0.36041666666666666</v>
      </c>
      <c r="M2795" s="6" t="s">
        <v>1622</v>
      </c>
      <c r="N2795" s="14" t="s">
        <v>21</v>
      </c>
      <c r="O2795" s="6" t="s">
        <v>22</v>
      </c>
    </row>
    <row r="2796" spans="1:15">
      <c r="A2796" s="6" t="s">
        <v>15</v>
      </c>
      <c r="B2796" s="6" t="str">
        <f>"FES1162690551"</f>
        <v>FES1162690551</v>
      </c>
      <c r="C2796" s="7">
        <v>43607</v>
      </c>
      <c r="D2796" s="6">
        <v>1</v>
      </c>
      <c r="E2796" s="6">
        <v>2170689005</v>
      </c>
      <c r="F2796" s="6" t="s">
        <v>16</v>
      </c>
      <c r="G2796" s="6" t="s">
        <v>17</v>
      </c>
      <c r="H2796" s="6" t="s">
        <v>17</v>
      </c>
      <c r="I2796" s="6" t="s">
        <v>18</v>
      </c>
      <c r="J2796" s="6" t="s">
        <v>3865</v>
      </c>
      <c r="K2796" s="7">
        <v>43608</v>
      </c>
      <c r="L2796" s="8">
        <v>0.40138888888888885</v>
      </c>
      <c r="M2796" s="6" t="s">
        <v>3866</v>
      </c>
      <c r="N2796" s="14" t="s">
        <v>21</v>
      </c>
      <c r="O2796" s="6" t="s">
        <v>22</v>
      </c>
    </row>
    <row r="2797" spans="1:15">
      <c r="A2797" s="6" t="s">
        <v>15</v>
      </c>
      <c r="B2797" s="6" t="str">
        <f>"FES1162691125"</f>
        <v>FES1162691125</v>
      </c>
      <c r="C2797" s="7">
        <v>43607</v>
      </c>
      <c r="D2797" s="6">
        <v>1</v>
      </c>
      <c r="E2797" s="6">
        <v>2170688008</v>
      </c>
      <c r="F2797" s="6" t="s">
        <v>16</v>
      </c>
      <c r="G2797" s="6" t="s">
        <v>17</v>
      </c>
      <c r="H2797" s="6" t="s">
        <v>17</v>
      </c>
      <c r="I2797" s="6" t="s">
        <v>18</v>
      </c>
      <c r="J2797" s="6" t="s">
        <v>160</v>
      </c>
      <c r="K2797" s="7">
        <v>43608</v>
      </c>
      <c r="L2797" s="8">
        <v>0.33888888888888885</v>
      </c>
      <c r="M2797" s="6" t="s">
        <v>2374</v>
      </c>
      <c r="N2797" s="14" t="s">
        <v>21</v>
      </c>
      <c r="O2797" s="6" t="s">
        <v>22</v>
      </c>
    </row>
    <row r="2798" spans="1:15">
      <c r="A2798" s="6" t="s">
        <v>15</v>
      </c>
      <c r="B2798" s="6" t="str">
        <f>"FES1162691225"</f>
        <v>FES1162691225</v>
      </c>
      <c r="C2798" s="7">
        <v>43607</v>
      </c>
      <c r="D2798" s="6">
        <v>1</v>
      </c>
      <c r="E2798" s="6">
        <v>2170687571</v>
      </c>
      <c r="F2798" s="6" t="s">
        <v>16</v>
      </c>
      <c r="G2798" s="6" t="s">
        <v>17</v>
      </c>
      <c r="H2798" s="6" t="s">
        <v>17</v>
      </c>
      <c r="I2798" s="6" t="s">
        <v>18</v>
      </c>
      <c r="J2798" s="6" t="s">
        <v>114</v>
      </c>
      <c r="K2798" s="7">
        <v>43608</v>
      </c>
      <c r="L2798" s="8">
        <v>0.45347222222222222</v>
      </c>
      <c r="M2798" s="6" t="s">
        <v>114</v>
      </c>
      <c r="N2798" s="14" t="s">
        <v>21</v>
      </c>
      <c r="O2798" s="6" t="s">
        <v>22</v>
      </c>
    </row>
    <row r="2799" spans="1:15" hidden="1">
      <c r="A2799" s="6" t="s">
        <v>15</v>
      </c>
      <c r="B2799" s="6" t="str">
        <f>"FES1162691217"</f>
        <v>FES1162691217</v>
      </c>
      <c r="C2799" s="7">
        <v>43607</v>
      </c>
      <c r="D2799" s="6">
        <v>1</v>
      </c>
      <c r="E2799" s="6">
        <v>2170687461</v>
      </c>
      <c r="F2799" s="6" t="s">
        <v>16</v>
      </c>
      <c r="G2799" s="6" t="s">
        <v>17</v>
      </c>
      <c r="H2799" s="6" t="s">
        <v>2611</v>
      </c>
      <c r="I2799" s="6" t="s">
        <v>3867</v>
      </c>
      <c r="J2799" s="6" t="s">
        <v>3868</v>
      </c>
      <c r="K2799" s="7">
        <v>43608</v>
      </c>
      <c r="L2799" s="8">
        <v>0.4375</v>
      </c>
      <c r="M2799" s="6" t="s">
        <v>2787</v>
      </c>
      <c r="N2799" s="14" t="s">
        <v>21</v>
      </c>
      <c r="O2799" s="6" t="s">
        <v>22</v>
      </c>
    </row>
    <row r="2800" spans="1:15">
      <c r="A2800" s="6" t="s">
        <v>15</v>
      </c>
      <c r="B2800" s="6" t="str">
        <f>"FES1162691285"</f>
        <v>FES1162691285</v>
      </c>
      <c r="C2800" s="7">
        <v>43607</v>
      </c>
      <c r="D2800" s="6">
        <v>1</v>
      </c>
      <c r="E2800" s="6">
        <v>217068664</v>
      </c>
      <c r="F2800" s="6" t="s">
        <v>16</v>
      </c>
      <c r="G2800" s="6" t="s">
        <v>17</v>
      </c>
      <c r="H2800" s="6" t="s">
        <v>17</v>
      </c>
      <c r="I2800" s="6" t="s">
        <v>148</v>
      </c>
      <c r="J2800" s="6" t="s">
        <v>164</v>
      </c>
      <c r="K2800" s="7">
        <v>43608</v>
      </c>
      <c r="L2800" s="8">
        <v>0.40138888888888885</v>
      </c>
      <c r="M2800" s="6" t="s">
        <v>3869</v>
      </c>
      <c r="N2800" s="14" t="s">
        <v>21</v>
      </c>
      <c r="O2800" s="6" t="s">
        <v>22</v>
      </c>
    </row>
    <row r="2801" spans="1:15" hidden="1">
      <c r="A2801" s="6" t="s">
        <v>15</v>
      </c>
      <c r="B2801" s="6" t="str">
        <f>"FES1162691191"</f>
        <v>FES1162691191</v>
      </c>
      <c r="C2801" s="7">
        <v>43607</v>
      </c>
      <c r="D2801" s="6">
        <v>1</v>
      </c>
      <c r="E2801" s="6">
        <v>2170689605</v>
      </c>
      <c r="F2801" s="6" t="s">
        <v>16</v>
      </c>
      <c r="G2801" s="6" t="s">
        <v>17</v>
      </c>
      <c r="H2801" s="6" t="s">
        <v>290</v>
      </c>
      <c r="I2801" s="6" t="s">
        <v>309</v>
      </c>
      <c r="J2801" s="6" t="s">
        <v>331</v>
      </c>
      <c r="K2801" s="7">
        <v>43608</v>
      </c>
      <c r="L2801" s="8">
        <v>0.4284722222222222</v>
      </c>
      <c r="M2801" s="6" t="s">
        <v>332</v>
      </c>
      <c r="N2801" s="14" t="s">
        <v>21</v>
      </c>
      <c r="O2801" s="6" t="s">
        <v>22</v>
      </c>
    </row>
    <row r="2802" spans="1:15">
      <c r="A2802" s="6" t="s">
        <v>15</v>
      </c>
      <c r="B2802" s="6" t="str">
        <f>"FES1162691220"</f>
        <v>FES1162691220</v>
      </c>
      <c r="C2802" s="7">
        <v>43607</v>
      </c>
      <c r="D2802" s="6">
        <v>1</v>
      </c>
      <c r="E2802" s="6">
        <v>2170687514</v>
      </c>
      <c r="F2802" s="6" t="s">
        <v>16</v>
      </c>
      <c r="G2802" s="6" t="s">
        <v>17</v>
      </c>
      <c r="H2802" s="6" t="s">
        <v>17</v>
      </c>
      <c r="I2802" s="6" t="s">
        <v>18</v>
      </c>
      <c r="J2802" s="6" t="s">
        <v>3870</v>
      </c>
      <c r="K2802" s="7">
        <v>43608</v>
      </c>
      <c r="L2802" s="8">
        <v>0.43055555555555558</v>
      </c>
      <c r="M2802" s="6" t="s">
        <v>481</v>
      </c>
      <c r="N2802" s="14" t="s">
        <v>21</v>
      </c>
      <c r="O2802" s="6" t="s">
        <v>22</v>
      </c>
    </row>
    <row r="2803" spans="1:15" hidden="1">
      <c r="A2803" s="6" t="s">
        <v>15</v>
      </c>
      <c r="B2803" s="6" t="str">
        <f>"FES1162691202"</f>
        <v>FES1162691202</v>
      </c>
      <c r="C2803" s="7">
        <v>43607</v>
      </c>
      <c r="D2803" s="6">
        <v>1</v>
      </c>
      <c r="E2803" s="6" t="s">
        <v>3871</v>
      </c>
      <c r="F2803" s="6" t="s">
        <v>16</v>
      </c>
      <c r="G2803" s="6" t="s">
        <v>17</v>
      </c>
      <c r="H2803" s="6" t="s">
        <v>43</v>
      </c>
      <c r="I2803" s="6" t="s">
        <v>44</v>
      </c>
      <c r="J2803" s="6" t="s">
        <v>938</v>
      </c>
      <c r="K2803" s="7">
        <v>43608</v>
      </c>
      <c r="L2803" s="8">
        <v>0.34166666666666662</v>
      </c>
      <c r="M2803" s="6" t="s">
        <v>939</v>
      </c>
      <c r="N2803" s="14" t="s">
        <v>21</v>
      </c>
      <c r="O2803" s="6" t="s">
        <v>22</v>
      </c>
    </row>
    <row r="2804" spans="1:15" hidden="1">
      <c r="A2804" s="6" t="s">
        <v>15</v>
      </c>
      <c r="B2804" s="6" t="str">
        <f>"FES1162691161"</f>
        <v>FES1162691161</v>
      </c>
      <c r="C2804" s="7">
        <v>43607</v>
      </c>
      <c r="D2804" s="6">
        <v>1</v>
      </c>
      <c r="E2804" s="6">
        <v>2170689569</v>
      </c>
      <c r="F2804" s="6" t="s">
        <v>16</v>
      </c>
      <c r="G2804" s="6" t="s">
        <v>17</v>
      </c>
      <c r="H2804" s="6" t="s">
        <v>43</v>
      </c>
      <c r="I2804" s="6" t="s">
        <v>44</v>
      </c>
      <c r="J2804" s="6" t="s">
        <v>938</v>
      </c>
      <c r="K2804" s="7">
        <v>43608</v>
      </c>
      <c r="L2804" s="8">
        <v>0.34791666666666665</v>
      </c>
      <c r="M2804" s="6" t="s">
        <v>3253</v>
      </c>
      <c r="N2804" s="14" t="s">
        <v>21</v>
      </c>
      <c r="O2804" s="6" t="s">
        <v>22</v>
      </c>
    </row>
    <row r="2805" spans="1:15" hidden="1">
      <c r="A2805" s="6" t="s">
        <v>15</v>
      </c>
      <c r="B2805" s="6" t="str">
        <f>"FES1162691135"</f>
        <v>FES1162691135</v>
      </c>
      <c r="C2805" s="7">
        <v>43607</v>
      </c>
      <c r="D2805" s="6">
        <v>1</v>
      </c>
      <c r="E2805" s="6">
        <v>2170688153</v>
      </c>
      <c r="F2805" s="6" t="s">
        <v>16</v>
      </c>
      <c r="G2805" s="6" t="s">
        <v>17</v>
      </c>
      <c r="H2805" s="6" t="s">
        <v>43</v>
      </c>
      <c r="I2805" s="6" t="s">
        <v>44</v>
      </c>
      <c r="J2805" s="6" t="s">
        <v>336</v>
      </c>
      <c r="K2805" s="7">
        <v>43608</v>
      </c>
      <c r="L2805" s="8">
        <v>0.34652777777777777</v>
      </c>
      <c r="M2805" s="6" t="s">
        <v>1502</v>
      </c>
      <c r="N2805" s="14" t="s">
        <v>21</v>
      </c>
      <c r="O2805" s="6" t="s">
        <v>22</v>
      </c>
    </row>
    <row r="2806" spans="1:15" hidden="1">
      <c r="A2806" s="6" t="s">
        <v>15</v>
      </c>
      <c r="B2806" s="6" t="str">
        <f>"FES1162691157"</f>
        <v>FES1162691157</v>
      </c>
      <c r="C2806" s="7">
        <v>43607</v>
      </c>
      <c r="D2806" s="6">
        <v>1</v>
      </c>
      <c r="E2806" s="6">
        <v>217689563</v>
      </c>
      <c r="F2806" s="6" t="s">
        <v>16</v>
      </c>
      <c r="G2806" s="6" t="s">
        <v>17</v>
      </c>
      <c r="H2806" s="6" t="s">
        <v>43</v>
      </c>
      <c r="I2806" s="6" t="s">
        <v>44</v>
      </c>
      <c r="J2806" s="6" t="s">
        <v>336</v>
      </c>
      <c r="K2806" s="7">
        <v>43608</v>
      </c>
      <c r="L2806" s="8">
        <v>0.34652777777777777</v>
      </c>
      <c r="M2806" s="6" t="s">
        <v>1502</v>
      </c>
      <c r="N2806" s="14" t="s">
        <v>21</v>
      </c>
      <c r="O2806" s="6" t="s">
        <v>22</v>
      </c>
    </row>
    <row r="2807" spans="1:15" hidden="1">
      <c r="A2807" s="6" t="s">
        <v>15</v>
      </c>
      <c r="B2807" s="6" t="str">
        <f>"FES1162691216"</f>
        <v>FES1162691216</v>
      </c>
      <c r="C2807" s="7">
        <v>43607</v>
      </c>
      <c r="D2807" s="6">
        <v>1</v>
      </c>
      <c r="E2807" s="6">
        <v>2170684575</v>
      </c>
      <c r="F2807" s="6" t="s">
        <v>16</v>
      </c>
      <c r="G2807" s="6" t="s">
        <v>17</v>
      </c>
      <c r="H2807" s="6" t="s">
        <v>43</v>
      </c>
      <c r="I2807" s="6" t="s">
        <v>44</v>
      </c>
      <c r="J2807" s="6" t="s">
        <v>1591</v>
      </c>
      <c r="K2807" s="7">
        <v>43608</v>
      </c>
      <c r="L2807" s="8">
        <v>0.41666666666666669</v>
      </c>
      <c r="M2807" s="6" t="s">
        <v>1880</v>
      </c>
      <c r="N2807" s="14" t="s">
        <v>21</v>
      </c>
      <c r="O2807" s="6" t="s">
        <v>22</v>
      </c>
    </row>
    <row r="2808" spans="1:15" hidden="1">
      <c r="A2808" s="6" t="s">
        <v>15</v>
      </c>
      <c r="B2808" s="6" t="str">
        <f>"FES1162691141"</f>
        <v>FES1162691141</v>
      </c>
      <c r="C2808" s="7">
        <v>43607</v>
      </c>
      <c r="D2808" s="6">
        <v>1</v>
      </c>
      <c r="E2808" s="6">
        <v>2170689241</v>
      </c>
      <c r="F2808" s="6" t="s">
        <v>16</v>
      </c>
      <c r="G2808" s="6" t="s">
        <v>17</v>
      </c>
      <c r="H2808" s="6" t="s">
        <v>43</v>
      </c>
      <c r="I2808" s="6" t="s">
        <v>75</v>
      </c>
      <c r="J2808" s="6" t="s">
        <v>222</v>
      </c>
      <c r="K2808" s="7">
        <v>43608</v>
      </c>
      <c r="L2808" s="8">
        <v>0.44513888888888892</v>
      </c>
      <c r="M2808" s="6" t="s">
        <v>223</v>
      </c>
      <c r="N2808" s="14" t="s">
        <v>21</v>
      </c>
      <c r="O2808" s="6" t="s">
        <v>22</v>
      </c>
    </row>
    <row r="2809" spans="1:15" hidden="1">
      <c r="A2809" s="6" t="s">
        <v>15</v>
      </c>
      <c r="B2809" s="6" t="str">
        <f>"FES1162691204"</f>
        <v>FES1162691204</v>
      </c>
      <c r="C2809" s="7">
        <v>43607</v>
      </c>
      <c r="D2809" s="6">
        <v>1</v>
      </c>
      <c r="E2809" s="6">
        <v>2170687225</v>
      </c>
      <c r="F2809" s="6" t="s">
        <v>16</v>
      </c>
      <c r="G2809" s="6" t="s">
        <v>17</v>
      </c>
      <c r="H2809" s="6" t="s">
        <v>43</v>
      </c>
      <c r="I2809" s="6" t="s">
        <v>60</v>
      </c>
      <c r="J2809" s="6" t="s">
        <v>61</v>
      </c>
      <c r="K2809" s="7">
        <v>43608</v>
      </c>
      <c r="L2809" s="8">
        <v>0.44513888888888892</v>
      </c>
      <c r="M2809" s="6" t="s">
        <v>3872</v>
      </c>
      <c r="N2809" s="6" t="s">
        <v>21</v>
      </c>
      <c r="O2809" s="6" t="s">
        <v>22</v>
      </c>
    </row>
    <row r="2810" spans="1:15" hidden="1">
      <c r="A2810" s="6" t="s">
        <v>15</v>
      </c>
      <c r="B2810" s="6" t="str">
        <f>"FES1162691120"</f>
        <v>FES1162691120</v>
      </c>
      <c r="C2810" s="7">
        <v>43607</v>
      </c>
      <c r="D2810" s="6">
        <v>1</v>
      </c>
      <c r="E2810" s="6">
        <v>2170687658</v>
      </c>
      <c r="F2810" s="6" t="s">
        <v>16</v>
      </c>
      <c r="G2810" s="6" t="s">
        <v>17</v>
      </c>
      <c r="H2810" s="6" t="s">
        <v>43</v>
      </c>
      <c r="I2810" s="6" t="s">
        <v>44</v>
      </c>
      <c r="J2810" s="6" t="s">
        <v>45</v>
      </c>
      <c r="K2810" s="7">
        <v>43608</v>
      </c>
      <c r="L2810" s="8">
        <v>0.32569444444444445</v>
      </c>
      <c r="M2810" s="6" t="s">
        <v>3873</v>
      </c>
      <c r="N2810" s="14" t="s">
        <v>21</v>
      </c>
      <c r="O2810" s="6" t="s">
        <v>22</v>
      </c>
    </row>
    <row r="2811" spans="1:15" hidden="1">
      <c r="A2811" s="6" t="s">
        <v>15</v>
      </c>
      <c r="B2811" s="6" t="str">
        <f>"FES1162691251"</f>
        <v>FES1162691251</v>
      </c>
      <c r="C2811" s="7">
        <v>43607</v>
      </c>
      <c r="D2811" s="6">
        <v>1</v>
      </c>
      <c r="E2811" s="6">
        <v>217689628</v>
      </c>
      <c r="F2811" s="6" t="s">
        <v>16</v>
      </c>
      <c r="G2811" s="6" t="s">
        <v>17</v>
      </c>
      <c r="H2811" s="6" t="s">
        <v>43</v>
      </c>
      <c r="I2811" s="6" t="s">
        <v>44</v>
      </c>
      <c r="J2811" s="6" t="s">
        <v>1228</v>
      </c>
      <c r="K2811" s="7">
        <v>43608</v>
      </c>
      <c r="L2811" s="8">
        <v>0.35486111111111113</v>
      </c>
      <c r="M2811" s="6" t="s">
        <v>3874</v>
      </c>
      <c r="N2811" s="14" t="s">
        <v>21</v>
      </c>
      <c r="O2811" s="6" t="s">
        <v>22</v>
      </c>
    </row>
    <row r="2812" spans="1:15" hidden="1">
      <c r="A2812" s="6" t="s">
        <v>15</v>
      </c>
      <c r="B2812" s="6" t="str">
        <f>"FES1162691175"</f>
        <v>FES1162691175</v>
      </c>
      <c r="C2812" s="7">
        <v>43607</v>
      </c>
      <c r="D2812" s="6">
        <v>1</v>
      </c>
      <c r="E2812" s="6">
        <v>2170689584</v>
      </c>
      <c r="F2812" s="6" t="s">
        <v>16</v>
      </c>
      <c r="G2812" s="6" t="s">
        <v>17</v>
      </c>
      <c r="H2812" s="6" t="s">
        <v>43</v>
      </c>
      <c r="I2812" s="6" t="s">
        <v>44</v>
      </c>
      <c r="J2812" s="6" t="s">
        <v>176</v>
      </c>
      <c r="K2812" s="7">
        <v>43608</v>
      </c>
      <c r="L2812" s="8">
        <v>0.31875000000000003</v>
      </c>
      <c r="M2812" s="6" t="s">
        <v>3875</v>
      </c>
      <c r="N2812" s="14" t="s">
        <v>21</v>
      </c>
      <c r="O2812" s="6" t="s">
        <v>22</v>
      </c>
    </row>
    <row r="2813" spans="1:15" hidden="1">
      <c r="A2813" s="6" t="s">
        <v>15</v>
      </c>
      <c r="B2813" s="6" t="str">
        <f>"FES1162691138"</f>
        <v>FES1162691138</v>
      </c>
      <c r="C2813" s="7">
        <v>43607</v>
      </c>
      <c r="D2813" s="6">
        <v>1</v>
      </c>
      <c r="E2813" s="6">
        <v>2170688762</v>
      </c>
      <c r="F2813" s="6" t="s">
        <v>16</v>
      </c>
      <c r="G2813" s="6" t="s">
        <v>17</v>
      </c>
      <c r="H2813" s="6" t="s">
        <v>43</v>
      </c>
      <c r="I2813" s="6" t="s">
        <v>44</v>
      </c>
      <c r="J2813" s="6" t="s">
        <v>72</v>
      </c>
      <c r="K2813" s="7">
        <v>43608</v>
      </c>
      <c r="L2813" s="8">
        <v>0.3520833333333333</v>
      </c>
      <c r="M2813" s="6" t="s">
        <v>1100</v>
      </c>
      <c r="N2813" s="14" t="s">
        <v>21</v>
      </c>
      <c r="O2813" s="6" t="s">
        <v>22</v>
      </c>
    </row>
    <row r="2814" spans="1:15" hidden="1">
      <c r="A2814" s="6" t="s">
        <v>15</v>
      </c>
      <c r="B2814" s="6" t="str">
        <f>"FES1162691221"</f>
        <v>FES1162691221</v>
      </c>
      <c r="C2814" s="7">
        <v>43607</v>
      </c>
      <c r="D2814" s="6">
        <v>1</v>
      </c>
      <c r="E2814" s="6">
        <v>2170687519</v>
      </c>
      <c r="F2814" s="6" t="s">
        <v>16</v>
      </c>
      <c r="G2814" s="6" t="s">
        <v>17</v>
      </c>
      <c r="H2814" s="6" t="s">
        <v>43</v>
      </c>
      <c r="I2814" s="6" t="s">
        <v>738</v>
      </c>
      <c r="J2814" s="6" t="s">
        <v>739</v>
      </c>
      <c r="K2814" s="7">
        <v>43608</v>
      </c>
      <c r="L2814" s="8">
        <v>0.4152777777777778</v>
      </c>
      <c r="M2814" s="6" t="s">
        <v>740</v>
      </c>
      <c r="N2814" s="14" t="s">
        <v>21</v>
      </c>
      <c r="O2814" s="6" t="s">
        <v>22</v>
      </c>
    </row>
    <row r="2815" spans="1:15" hidden="1">
      <c r="A2815" s="6" t="s">
        <v>15</v>
      </c>
      <c r="B2815" s="6" t="str">
        <f>"FES1162691242"</f>
        <v>FES1162691242</v>
      </c>
      <c r="C2815" s="7">
        <v>43607</v>
      </c>
      <c r="D2815" s="6">
        <v>1</v>
      </c>
      <c r="E2815" s="6">
        <v>2170689126</v>
      </c>
      <c r="F2815" s="6" t="s">
        <v>16</v>
      </c>
      <c r="G2815" s="6" t="s">
        <v>17</v>
      </c>
      <c r="H2815" s="6" t="s">
        <v>43</v>
      </c>
      <c r="I2815" s="6" t="s">
        <v>44</v>
      </c>
      <c r="J2815" s="6" t="s">
        <v>399</v>
      </c>
      <c r="K2815" s="7">
        <v>43608</v>
      </c>
      <c r="L2815" s="8">
        <v>0.35416666666666669</v>
      </c>
      <c r="M2815" s="6" t="s">
        <v>3876</v>
      </c>
      <c r="N2815" s="14" t="s">
        <v>21</v>
      </c>
      <c r="O2815" s="6" t="s">
        <v>22</v>
      </c>
    </row>
    <row r="2816" spans="1:15" hidden="1">
      <c r="A2816" s="6" t="s">
        <v>15</v>
      </c>
      <c r="B2816" s="6" t="str">
        <f>"FES1162691111"</f>
        <v>FES1162691111</v>
      </c>
      <c r="C2816" s="7">
        <v>43607</v>
      </c>
      <c r="D2816" s="6">
        <v>1</v>
      </c>
      <c r="E2816" s="6">
        <v>2170689842</v>
      </c>
      <c r="F2816" s="6" t="s">
        <v>16</v>
      </c>
      <c r="G2816" s="6" t="s">
        <v>17</v>
      </c>
      <c r="H2816" s="6" t="s">
        <v>43</v>
      </c>
      <c r="I2816" s="6" t="s">
        <v>44</v>
      </c>
      <c r="J2816" s="6" t="s">
        <v>2006</v>
      </c>
      <c r="K2816" s="7">
        <v>43608</v>
      </c>
      <c r="L2816" s="8">
        <v>0.3611111111111111</v>
      </c>
      <c r="M2816" s="6" t="s">
        <v>3877</v>
      </c>
      <c r="N2816" s="14" t="s">
        <v>21</v>
      </c>
      <c r="O2816" s="6" t="s">
        <v>22</v>
      </c>
    </row>
    <row r="2817" spans="1:15" hidden="1">
      <c r="A2817" s="6" t="s">
        <v>15</v>
      </c>
      <c r="B2817" s="6" t="str">
        <f>"FES1162691195"</f>
        <v>FES1162691195</v>
      </c>
      <c r="C2817" s="7">
        <v>43607</v>
      </c>
      <c r="D2817" s="6">
        <v>1</v>
      </c>
      <c r="E2817" s="6">
        <v>2170686501</v>
      </c>
      <c r="F2817" s="6" t="s">
        <v>16</v>
      </c>
      <c r="G2817" s="6" t="s">
        <v>17</v>
      </c>
      <c r="H2817" s="6" t="s">
        <v>43</v>
      </c>
      <c r="I2817" s="6" t="s">
        <v>44</v>
      </c>
      <c r="J2817" s="6" t="s">
        <v>128</v>
      </c>
      <c r="K2817" s="7">
        <v>43608</v>
      </c>
      <c r="L2817" s="8">
        <v>0.37361111111111112</v>
      </c>
      <c r="M2817" s="6" t="s">
        <v>793</v>
      </c>
      <c r="N2817" s="14" t="s">
        <v>21</v>
      </c>
      <c r="O2817" s="6" t="s">
        <v>22</v>
      </c>
    </row>
    <row r="2818" spans="1:15" hidden="1">
      <c r="A2818" s="6" t="s">
        <v>15</v>
      </c>
      <c r="B2818" s="6" t="str">
        <f>"FES1162691209"</f>
        <v>FES1162691209</v>
      </c>
      <c r="C2818" s="7">
        <v>43607</v>
      </c>
      <c r="D2818" s="6">
        <v>1</v>
      </c>
      <c r="E2818" s="6">
        <v>2170687312</v>
      </c>
      <c r="F2818" s="6" t="s">
        <v>16</v>
      </c>
      <c r="G2818" s="6" t="s">
        <v>17</v>
      </c>
      <c r="H2818" s="6" t="s">
        <v>43</v>
      </c>
      <c r="I2818" s="6" t="s">
        <v>44</v>
      </c>
      <c r="J2818" s="6" t="s">
        <v>3878</v>
      </c>
      <c r="K2818" s="7">
        <v>43608</v>
      </c>
      <c r="L2818" s="8">
        <v>0.36527777777777781</v>
      </c>
      <c r="M2818" s="6" t="s">
        <v>1736</v>
      </c>
      <c r="N2818" s="14" t="s">
        <v>21</v>
      </c>
      <c r="O2818" s="6" t="s">
        <v>22</v>
      </c>
    </row>
    <row r="2819" spans="1:15" hidden="1">
      <c r="A2819" s="6" t="s">
        <v>15</v>
      </c>
      <c r="B2819" s="6" t="str">
        <f>"FES1162691198"</f>
        <v>FES1162691198</v>
      </c>
      <c r="C2819" s="7">
        <v>43607</v>
      </c>
      <c r="D2819" s="6">
        <v>1</v>
      </c>
      <c r="E2819" s="6">
        <v>2170687078</v>
      </c>
      <c r="F2819" s="6" t="s">
        <v>16</v>
      </c>
      <c r="G2819" s="6" t="s">
        <v>17</v>
      </c>
      <c r="H2819" s="6" t="s">
        <v>43</v>
      </c>
      <c r="I2819" s="6" t="s">
        <v>44</v>
      </c>
      <c r="J2819" s="6" t="s">
        <v>1074</v>
      </c>
      <c r="K2819" s="7">
        <v>43608</v>
      </c>
      <c r="L2819" s="8">
        <v>0.62291666666666667</v>
      </c>
      <c r="M2819" s="6" t="s">
        <v>1962</v>
      </c>
      <c r="N2819" s="14" t="s">
        <v>21</v>
      </c>
      <c r="O2819" s="6" t="s">
        <v>22</v>
      </c>
    </row>
    <row r="2820" spans="1:15" hidden="1">
      <c r="A2820" s="6" t="s">
        <v>15</v>
      </c>
      <c r="B2820" s="6" t="str">
        <f>"FES1162691132"</f>
        <v>FES1162691132</v>
      </c>
      <c r="C2820" s="7">
        <v>43607</v>
      </c>
      <c r="D2820" s="6">
        <v>1</v>
      </c>
      <c r="E2820" s="6">
        <v>2170688090</v>
      </c>
      <c r="F2820" s="6" t="s">
        <v>16</v>
      </c>
      <c r="G2820" s="6" t="s">
        <v>17</v>
      </c>
      <c r="H2820" s="6" t="s">
        <v>32</v>
      </c>
      <c r="I2820" s="6" t="s">
        <v>33</v>
      </c>
      <c r="J2820" s="6" t="s">
        <v>778</v>
      </c>
      <c r="K2820" s="7">
        <v>43608</v>
      </c>
      <c r="L2820" s="8">
        <v>0.3923611111111111</v>
      </c>
      <c r="M2820" s="6" t="s">
        <v>3879</v>
      </c>
      <c r="N2820" s="14" t="s">
        <v>21</v>
      </c>
      <c r="O2820" s="6" t="s">
        <v>22</v>
      </c>
    </row>
    <row r="2821" spans="1:15" hidden="1">
      <c r="A2821" s="6" t="s">
        <v>15</v>
      </c>
      <c r="B2821" s="6" t="str">
        <f>"FES1162691228"</f>
        <v>FES1162691228</v>
      </c>
      <c r="C2821" s="7">
        <v>43607</v>
      </c>
      <c r="D2821" s="6">
        <v>1</v>
      </c>
      <c r="E2821" s="6">
        <v>2170687637</v>
      </c>
      <c r="F2821" s="6" t="s">
        <v>16</v>
      </c>
      <c r="G2821" s="6" t="s">
        <v>17</v>
      </c>
      <c r="H2821" s="6" t="s">
        <v>37</v>
      </c>
      <c r="I2821" s="6" t="s">
        <v>38</v>
      </c>
      <c r="J2821" s="6" t="s">
        <v>766</v>
      </c>
      <c r="K2821" s="7">
        <v>43608</v>
      </c>
      <c r="L2821" s="8">
        <v>0.35972222222222222</v>
      </c>
      <c r="M2821" s="6" t="s">
        <v>1247</v>
      </c>
      <c r="N2821" s="14" t="s">
        <v>21</v>
      </c>
      <c r="O2821" s="6" t="s">
        <v>22</v>
      </c>
    </row>
    <row r="2822" spans="1:15" hidden="1">
      <c r="A2822" s="6" t="s">
        <v>15</v>
      </c>
      <c r="B2822" s="6" t="str">
        <f>"FES1162691214"</f>
        <v>FES1162691214</v>
      </c>
      <c r="C2822" s="7">
        <v>43607</v>
      </c>
      <c r="D2822" s="6">
        <v>1</v>
      </c>
      <c r="E2822" s="6">
        <v>2170687397</v>
      </c>
      <c r="F2822" s="6" t="s">
        <v>16</v>
      </c>
      <c r="G2822" s="6" t="s">
        <v>17</v>
      </c>
      <c r="H2822" s="6" t="s">
        <v>37</v>
      </c>
      <c r="I2822" s="6" t="s">
        <v>38</v>
      </c>
      <c r="J2822" s="6" t="s">
        <v>535</v>
      </c>
      <c r="K2822" s="7">
        <v>43608</v>
      </c>
      <c r="L2822" s="8">
        <v>0.35416666666666669</v>
      </c>
      <c r="M2822" s="6" t="s">
        <v>1648</v>
      </c>
      <c r="N2822" s="14" t="s">
        <v>21</v>
      </c>
      <c r="O2822" s="6" t="s">
        <v>22</v>
      </c>
    </row>
    <row r="2823" spans="1:15" hidden="1">
      <c r="A2823" s="6" t="s">
        <v>15</v>
      </c>
      <c r="B2823" s="6" t="str">
        <f>"FES1162691227"</f>
        <v>FES1162691227</v>
      </c>
      <c r="C2823" s="7">
        <v>43607</v>
      </c>
      <c r="D2823" s="6">
        <v>1</v>
      </c>
      <c r="E2823" s="6">
        <v>2170687621</v>
      </c>
      <c r="F2823" s="6" t="s">
        <v>16</v>
      </c>
      <c r="G2823" s="6" t="s">
        <v>17</v>
      </c>
      <c r="H2823" s="6" t="s">
        <v>32</v>
      </c>
      <c r="I2823" s="6" t="s">
        <v>33</v>
      </c>
      <c r="J2823" s="6" t="s">
        <v>357</v>
      </c>
      <c r="K2823" s="7">
        <v>43608</v>
      </c>
      <c r="L2823" s="8">
        <v>0.4201388888888889</v>
      </c>
      <c r="M2823" s="6" t="s">
        <v>1051</v>
      </c>
      <c r="N2823" s="14" t="s">
        <v>21</v>
      </c>
      <c r="O2823" s="6" t="s">
        <v>22</v>
      </c>
    </row>
    <row r="2824" spans="1:15" hidden="1">
      <c r="A2824" s="6" t="s">
        <v>15</v>
      </c>
      <c r="B2824" s="6" t="str">
        <f>"FES1162691131"</f>
        <v>FES1162691131</v>
      </c>
      <c r="C2824" s="7">
        <v>43607</v>
      </c>
      <c r="D2824" s="6">
        <v>1</v>
      </c>
      <c r="E2824" s="6">
        <v>2170688082</v>
      </c>
      <c r="F2824" s="6" t="s">
        <v>16</v>
      </c>
      <c r="G2824" s="6" t="s">
        <v>17</v>
      </c>
      <c r="H2824" s="6" t="s">
        <v>32</v>
      </c>
      <c r="I2824" s="6" t="s">
        <v>33</v>
      </c>
      <c r="J2824" s="6" t="s">
        <v>778</v>
      </c>
      <c r="K2824" s="7">
        <v>43608</v>
      </c>
      <c r="L2824" s="8">
        <v>0.3923611111111111</v>
      </c>
      <c r="M2824" s="6" t="s">
        <v>3879</v>
      </c>
      <c r="N2824" s="14" t="s">
        <v>21</v>
      </c>
      <c r="O2824" s="6" t="s">
        <v>22</v>
      </c>
    </row>
    <row r="2825" spans="1:15" hidden="1">
      <c r="A2825" s="6" t="s">
        <v>15</v>
      </c>
      <c r="B2825" s="6" t="str">
        <f>"FES1162691168"</f>
        <v>FES1162691168</v>
      </c>
      <c r="C2825" s="7">
        <v>43607</v>
      </c>
      <c r="D2825" s="6">
        <v>1</v>
      </c>
      <c r="E2825" s="6">
        <v>2170689576</v>
      </c>
      <c r="F2825" s="6" t="s">
        <v>16</v>
      </c>
      <c r="G2825" s="6" t="s">
        <v>17</v>
      </c>
      <c r="H2825" s="6" t="s">
        <v>37</v>
      </c>
      <c r="I2825" s="6" t="s">
        <v>38</v>
      </c>
      <c r="J2825" s="6" t="s">
        <v>535</v>
      </c>
      <c r="K2825" s="7">
        <v>43608</v>
      </c>
      <c r="L2825" s="8">
        <v>0.35416666666666669</v>
      </c>
      <c r="M2825" s="6" t="s">
        <v>1648</v>
      </c>
      <c r="N2825" s="14" t="s">
        <v>21</v>
      </c>
      <c r="O2825" s="6" t="s">
        <v>22</v>
      </c>
    </row>
    <row r="2826" spans="1:15" hidden="1">
      <c r="A2826" s="6" t="s">
        <v>15</v>
      </c>
      <c r="B2826" s="6" t="str">
        <f>"FES1162691224"</f>
        <v>FES1162691224</v>
      </c>
      <c r="C2826" s="7">
        <v>43607</v>
      </c>
      <c r="D2826" s="6">
        <v>1</v>
      </c>
      <c r="E2826" s="6">
        <v>2170687550</v>
      </c>
      <c r="F2826" s="6" t="s">
        <v>16</v>
      </c>
      <c r="G2826" s="6" t="s">
        <v>17</v>
      </c>
      <c r="H2826" s="6" t="s">
        <v>32</v>
      </c>
      <c r="I2826" s="6" t="s">
        <v>33</v>
      </c>
      <c r="J2826" s="6" t="s">
        <v>34</v>
      </c>
      <c r="K2826" s="7">
        <v>43608</v>
      </c>
      <c r="L2826" s="8">
        <v>0.34375</v>
      </c>
      <c r="M2826" s="6" t="s">
        <v>3880</v>
      </c>
      <c r="N2826" s="14" t="s">
        <v>21</v>
      </c>
      <c r="O2826" s="6" t="s">
        <v>22</v>
      </c>
    </row>
    <row r="2827" spans="1:15" hidden="1">
      <c r="A2827" s="6" t="s">
        <v>15</v>
      </c>
      <c r="B2827" s="6" t="str">
        <f>"FES1162691172"</f>
        <v>FES1162691172</v>
      </c>
      <c r="C2827" s="7">
        <v>43607</v>
      </c>
      <c r="D2827" s="6">
        <v>1</v>
      </c>
      <c r="E2827" s="6">
        <v>21706895813</v>
      </c>
      <c r="F2827" s="6" t="s">
        <v>16</v>
      </c>
      <c r="G2827" s="6" t="s">
        <v>17</v>
      </c>
      <c r="H2827" s="6" t="s">
        <v>32</v>
      </c>
      <c r="I2827" s="6" t="s">
        <v>342</v>
      </c>
      <c r="J2827" s="6" t="s">
        <v>3881</v>
      </c>
      <c r="K2827" s="7">
        <v>43608</v>
      </c>
      <c r="L2827" s="8">
        <v>0.4055555555555555</v>
      </c>
      <c r="M2827" s="6" t="s">
        <v>2045</v>
      </c>
      <c r="N2827" s="14" t="s">
        <v>21</v>
      </c>
      <c r="O2827" s="6" t="s">
        <v>22</v>
      </c>
    </row>
    <row r="2828" spans="1:15" hidden="1">
      <c r="A2828" s="6" t="s">
        <v>15</v>
      </c>
      <c r="B2828" s="6" t="str">
        <f>"FES1162691213"</f>
        <v>FES1162691213</v>
      </c>
      <c r="C2828" s="7">
        <v>43607</v>
      </c>
      <c r="D2828" s="6">
        <v>1</v>
      </c>
      <c r="E2828" s="6">
        <v>2170687387</v>
      </c>
      <c r="F2828" s="6" t="s">
        <v>16</v>
      </c>
      <c r="G2828" s="6" t="s">
        <v>17</v>
      </c>
      <c r="H2828" s="6" t="s">
        <v>37</v>
      </c>
      <c r="I2828" s="6" t="s">
        <v>38</v>
      </c>
      <c r="J2828" s="6" t="s">
        <v>39</v>
      </c>
      <c r="K2828" s="7">
        <v>43608</v>
      </c>
      <c r="L2828" s="8">
        <v>0.37361111111111112</v>
      </c>
      <c r="M2828" s="6" t="s">
        <v>40</v>
      </c>
      <c r="N2828" s="14" t="s">
        <v>21</v>
      </c>
      <c r="O2828" s="6" t="s">
        <v>22</v>
      </c>
    </row>
    <row r="2829" spans="1:15" hidden="1">
      <c r="A2829" s="6" t="s">
        <v>15</v>
      </c>
      <c r="B2829" s="6" t="str">
        <f>"FES1162691223"</f>
        <v>FES1162691223</v>
      </c>
      <c r="C2829" s="7">
        <v>43607</v>
      </c>
      <c r="D2829" s="6">
        <v>1</v>
      </c>
      <c r="E2829" s="6">
        <v>2170687545</v>
      </c>
      <c r="F2829" s="6" t="s">
        <v>16</v>
      </c>
      <c r="G2829" s="6" t="s">
        <v>17</v>
      </c>
      <c r="H2829" s="6" t="s">
        <v>32</v>
      </c>
      <c r="I2829" s="6" t="s">
        <v>33</v>
      </c>
      <c r="J2829" s="6" t="s">
        <v>34</v>
      </c>
      <c r="K2829" s="7">
        <v>43608</v>
      </c>
      <c r="L2829" s="8">
        <v>0.34375</v>
      </c>
      <c r="M2829" s="6" t="s">
        <v>3880</v>
      </c>
      <c r="N2829" s="14" t="s">
        <v>21</v>
      </c>
      <c r="O2829" s="6" t="s">
        <v>22</v>
      </c>
    </row>
    <row r="2830" spans="1:15" hidden="1">
      <c r="A2830" s="6" t="s">
        <v>15</v>
      </c>
      <c r="B2830" s="6" t="str">
        <f>"FES1162691176"</f>
        <v>FES1162691176</v>
      </c>
      <c r="C2830" s="7">
        <v>43607</v>
      </c>
      <c r="D2830" s="6">
        <v>1</v>
      </c>
      <c r="E2830" s="6">
        <v>2170689585</v>
      </c>
      <c r="F2830" s="6" t="s">
        <v>16</v>
      </c>
      <c r="G2830" s="6" t="s">
        <v>17</v>
      </c>
      <c r="H2830" s="6" t="s">
        <v>32</v>
      </c>
      <c r="I2830" s="6" t="s">
        <v>33</v>
      </c>
      <c r="J2830" s="6" t="s">
        <v>506</v>
      </c>
      <c r="K2830" s="7">
        <v>43608</v>
      </c>
      <c r="L2830" s="8">
        <v>0.33680555555555558</v>
      </c>
      <c r="M2830" s="6" t="s">
        <v>1142</v>
      </c>
      <c r="N2830" s="14" t="s">
        <v>21</v>
      </c>
      <c r="O2830" s="6" t="s">
        <v>22</v>
      </c>
    </row>
    <row r="2831" spans="1:15" hidden="1">
      <c r="A2831" s="6" t="s">
        <v>15</v>
      </c>
      <c r="B2831" s="6" t="str">
        <f>"FES1162691205"</f>
        <v>FES1162691205</v>
      </c>
      <c r="C2831" s="7">
        <v>43607</v>
      </c>
      <c r="D2831" s="6">
        <v>1</v>
      </c>
      <c r="E2831" s="6">
        <v>2170687252</v>
      </c>
      <c r="F2831" s="6" t="s">
        <v>16</v>
      </c>
      <c r="G2831" s="6" t="s">
        <v>17</v>
      </c>
      <c r="H2831" s="6" t="s">
        <v>37</v>
      </c>
      <c r="I2831" s="6" t="s">
        <v>38</v>
      </c>
      <c r="J2831" s="6" t="s">
        <v>39</v>
      </c>
      <c r="K2831" s="7">
        <v>43608</v>
      </c>
      <c r="L2831" s="8">
        <v>0.37222222222222223</v>
      </c>
      <c r="M2831" s="6" t="s">
        <v>40</v>
      </c>
      <c r="N2831" s="14" t="s">
        <v>21</v>
      </c>
      <c r="O2831" s="6" t="s">
        <v>22</v>
      </c>
    </row>
    <row r="2832" spans="1:15" hidden="1">
      <c r="A2832" s="6" t="s">
        <v>15</v>
      </c>
      <c r="B2832" s="6" t="str">
        <f>"FES1162691196"</f>
        <v>FES1162691196</v>
      </c>
      <c r="C2832" s="7">
        <v>43607</v>
      </c>
      <c r="D2832" s="6">
        <v>1</v>
      </c>
      <c r="E2832" s="6">
        <v>2170686797</v>
      </c>
      <c r="F2832" s="6" t="s">
        <v>16</v>
      </c>
      <c r="G2832" s="6" t="s">
        <v>17</v>
      </c>
      <c r="H2832" s="6" t="s">
        <v>32</v>
      </c>
      <c r="I2832" s="6" t="s">
        <v>33</v>
      </c>
      <c r="J2832" s="6" t="s">
        <v>357</v>
      </c>
      <c r="K2832" s="7">
        <v>43608</v>
      </c>
      <c r="L2832" s="8">
        <v>0.4201388888888889</v>
      </c>
      <c r="M2832" s="6" t="s">
        <v>1051</v>
      </c>
      <c r="N2832" s="14" t="s">
        <v>21</v>
      </c>
      <c r="O2832" s="6" t="s">
        <v>22</v>
      </c>
    </row>
    <row r="2833" spans="1:15" hidden="1">
      <c r="A2833" s="6" t="s">
        <v>15</v>
      </c>
      <c r="B2833" s="6" t="str">
        <f>"FES1162691200"</f>
        <v>FES1162691200</v>
      </c>
      <c r="C2833" s="7">
        <v>43607</v>
      </c>
      <c r="D2833" s="6">
        <v>1</v>
      </c>
      <c r="E2833" s="6">
        <v>2170687138</v>
      </c>
      <c r="F2833" s="6" t="s">
        <v>16</v>
      </c>
      <c r="G2833" s="6" t="s">
        <v>17</v>
      </c>
      <c r="H2833" s="6" t="s">
        <v>32</v>
      </c>
      <c r="I2833" s="6" t="s">
        <v>33</v>
      </c>
      <c r="J2833" s="6" t="s">
        <v>365</v>
      </c>
      <c r="K2833" s="7">
        <v>43608</v>
      </c>
      <c r="L2833" s="8">
        <v>0.37847222222222227</v>
      </c>
      <c r="M2833" s="6" t="s">
        <v>3574</v>
      </c>
      <c r="N2833" s="14" t="s">
        <v>21</v>
      </c>
      <c r="O2833" s="6" t="s">
        <v>22</v>
      </c>
    </row>
    <row r="2834" spans="1:15">
      <c r="A2834" s="6" t="s">
        <v>15</v>
      </c>
      <c r="B2834" s="6" t="str">
        <f>"FES1162691164"</f>
        <v>FES1162691164</v>
      </c>
      <c r="C2834" s="7">
        <v>43607</v>
      </c>
      <c r="D2834" s="6">
        <v>1</v>
      </c>
      <c r="E2834" s="6">
        <v>2170689572</v>
      </c>
      <c r="F2834" s="6" t="s">
        <v>16</v>
      </c>
      <c r="G2834" s="6" t="s">
        <v>17</v>
      </c>
      <c r="H2834" s="6" t="s">
        <v>17</v>
      </c>
      <c r="I2834" s="6" t="s">
        <v>26</v>
      </c>
      <c r="J2834" s="6" t="s">
        <v>3882</v>
      </c>
      <c r="K2834" s="7">
        <v>43608</v>
      </c>
      <c r="L2834" s="8">
        <v>0.33333333333333331</v>
      </c>
      <c r="M2834" s="6" t="s">
        <v>2158</v>
      </c>
      <c r="N2834" s="14" t="s">
        <v>21</v>
      </c>
      <c r="O2834" s="6" t="s">
        <v>22</v>
      </c>
    </row>
    <row r="2835" spans="1:15" hidden="1">
      <c r="A2835" s="6" t="s">
        <v>15</v>
      </c>
      <c r="B2835" s="6" t="str">
        <f>"FES1162691211"</f>
        <v>FES1162691211</v>
      </c>
      <c r="C2835" s="7">
        <v>43607</v>
      </c>
      <c r="D2835" s="6">
        <v>1</v>
      </c>
      <c r="E2835" s="6">
        <v>2170687336</v>
      </c>
      <c r="F2835" s="6" t="s">
        <v>16</v>
      </c>
      <c r="G2835" s="6" t="s">
        <v>17</v>
      </c>
      <c r="H2835" s="6" t="s">
        <v>32</v>
      </c>
      <c r="I2835" s="6" t="s">
        <v>342</v>
      </c>
      <c r="J2835" s="6" t="s">
        <v>3883</v>
      </c>
      <c r="K2835" s="7">
        <v>43608</v>
      </c>
      <c r="L2835" s="8">
        <v>0.40208333333333335</v>
      </c>
      <c r="M2835" s="6" t="s">
        <v>3884</v>
      </c>
      <c r="N2835" s="14" t="s">
        <v>21</v>
      </c>
      <c r="O2835" s="6" t="s">
        <v>22</v>
      </c>
    </row>
    <row r="2836" spans="1:15" hidden="1">
      <c r="A2836" s="6" t="s">
        <v>15</v>
      </c>
      <c r="B2836" s="6" t="str">
        <f>"FES1162691123"</f>
        <v>FES1162691123</v>
      </c>
      <c r="C2836" s="7">
        <v>43607</v>
      </c>
      <c r="D2836" s="6">
        <v>1</v>
      </c>
      <c r="E2836" s="6">
        <v>2170687898</v>
      </c>
      <c r="F2836" s="6" t="s">
        <v>16</v>
      </c>
      <c r="G2836" s="6" t="s">
        <v>17</v>
      </c>
      <c r="H2836" s="6" t="s">
        <v>32</v>
      </c>
      <c r="I2836" s="6" t="s">
        <v>33</v>
      </c>
      <c r="J2836" s="6" t="s">
        <v>34</v>
      </c>
      <c r="K2836" s="7">
        <v>43608</v>
      </c>
      <c r="L2836" s="8">
        <v>0.34375</v>
      </c>
      <c r="M2836" s="6" t="s">
        <v>3885</v>
      </c>
      <c r="N2836" s="14" t="s">
        <v>21</v>
      </c>
      <c r="O2836" s="6" t="s">
        <v>22</v>
      </c>
    </row>
    <row r="2837" spans="1:15" hidden="1">
      <c r="A2837" s="6" t="s">
        <v>15</v>
      </c>
      <c r="B2837" s="6" t="str">
        <f>"FES1162691186"</f>
        <v>FES1162691186</v>
      </c>
      <c r="C2837" s="7">
        <v>43607</v>
      </c>
      <c r="D2837" s="6">
        <v>1</v>
      </c>
      <c r="E2837" s="6">
        <v>2170689237</v>
      </c>
      <c r="F2837" s="6" t="s">
        <v>16</v>
      </c>
      <c r="G2837" s="6" t="s">
        <v>17</v>
      </c>
      <c r="H2837" s="6" t="s">
        <v>32</v>
      </c>
      <c r="I2837" s="6" t="s">
        <v>33</v>
      </c>
      <c r="J2837" s="6" t="s">
        <v>1125</v>
      </c>
      <c r="K2837" s="7">
        <v>43608</v>
      </c>
      <c r="L2837" s="8">
        <v>0.3611111111111111</v>
      </c>
      <c r="M2837" s="6" t="s">
        <v>3886</v>
      </c>
      <c r="N2837" s="14" t="s">
        <v>21</v>
      </c>
      <c r="O2837" s="6" t="s">
        <v>22</v>
      </c>
    </row>
    <row r="2838" spans="1:15" hidden="1">
      <c r="A2838" s="6" t="s">
        <v>15</v>
      </c>
      <c r="B2838" s="6" t="str">
        <f>"FES1162691291"</f>
        <v>FES1162691291</v>
      </c>
      <c r="C2838" s="7">
        <v>43607</v>
      </c>
      <c r="D2838" s="6">
        <v>1</v>
      </c>
      <c r="E2838" s="6">
        <v>2170689671</v>
      </c>
      <c r="F2838" s="6" t="s">
        <v>16</v>
      </c>
      <c r="G2838" s="6" t="s">
        <v>17</v>
      </c>
      <c r="H2838" s="6" t="s">
        <v>43</v>
      </c>
      <c r="I2838" s="6" t="s">
        <v>75</v>
      </c>
      <c r="J2838" s="6" t="s">
        <v>76</v>
      </c>
      <c r="K2838" s="7">
        <v>43608</v>
      </c>
      <c r="L2838" s="8">
        <v>0.45555555555555555</v>
      </c>
      <c r="M2838" s="6" t="s">
        <v>3887</v>
      </c>
      <c r="N2838" s="14" t="s">
        <v>21</v>
      </c>
      <c r="O2838" s="6" t="s">
        <v>22</v>
      </c>
    </row>
    <row r="2839" spans="1:15">
      <c r="A2839" s="6" t="s">
        <v>15</v>
      </c>
      <c r="B2839" s="6" t="str">
        <f>"FES1162691114"</f>
        <v>FES1162691114</v>
      </c>
      <c r="C2839" s="7">
        <v>43607</v>
      </c>
      <c r="D2839" s="6">
        <v>1</v>
      </c>
      <c r="E2839" s="6">
        <v>2170681770</v>
      </c>
      <c r="F2839" s="6" t="s">
        <v>16</v>
      </c>
      <c r="G2839" s="6" t="s">
        <v>17</v>
      </c>
      <c r="H2839" s="6" t="s">
        <v>17</v>
      </c>
      <c r="I2839" s="6" t="s">
        <v>67</v>
      </c>
      <c r="J2839" s="6" t="s">
        <v>609</v>
      </c>
      <c r="K2839" s="7">
        <v>43608</v>
      </c>
      <c r="L2839" s="8">
        <v>0.44444444444444442</v>
      </c>
      <c r="M2839" s="6" t="s">
        <v>325</v>
      </c>
      <c r="N2839" s="14" t="s">
        <v>21</v>
      </c>
      <c r="O2839" s="6" t="s">
        <v>22</v>
      </c>
    </row>
    <row r="2840" spans="1:15" hidden="1">
      <c r="A2840" s="6" t="s">
        <v>15</v>
      </c>
      <c r="B2840" s="6" t="str">
        <f>"FES1162691096"</f>
        <v>FES1162691096</v>
      </c>
      <c r="C2840" s="7">
        <v>43607</v>
      </c>
      <c r="D2840" s="6">
        <v>1</v>
      </c>
      <c r="E2840" s="6">
        <v>2170689532</v>
      </c>
      <c r="F2840" s="6" t="s">
        <v>16</v>
      </c>
      <c r="G2840" s="6" t="s">
        <v>17</v>
      </c>
      <c r="H2840" s="6" t="s">
        <v>141</v>
      </c>
      <c r="I2840" s="6" t="s">
        <v>142</v>
      </c>
      <c r="J2840" s="6" t="s">
        <v>3888</v>
      </c>
      <c r="K2840" s="7">
        <v>43608</v>
      </c>
      <c r="L2840" s="8">
        <v>0.38194444444444442</v>
      </c>
      <c r="M2840" s="6" t="s">
        <v>3889</v>
      </c>
      <c r="N2840" s="14" t="s">
        <v>21</v>
      </c>
      <c r="O2840" s="6" t="s">
        <v>22</v>
      </c>
    </row>
    <row r="2841" spans="1:15">
      <c r="A2841" s="6" t="s">
        <v>15</v>
      </c>
      <c r="B2841" s="6" t="str">
        <f>"FES1162690780"</f>
        <v>FES1162690780</v>
      </c>
      <c r="C2841" s="7">
        <v>43607</v>
      </c>
      <c r="D2841" s="6">
        <v>2</v>
      </c>
      <c r="E2841" s="6">
        <v>2170689258</v>
      </c>
      <c r="F2841" s="6" t="s">
        <v>16</v>
      </c>
      <c r="G2841" s="6" t="s">
        <v>17</v>
      </c>
      <c r="H2841" s="6" t="s">
        <v>17</v>
      </c>
      <c r="I2841" s="6" t="s">
        <v>148</v>
      </c>
      <c r="J2841" s="6" t="s">
        <v>3890</v>
      </c>
      <c r="K2841" s="7">
        <v>43608</v>
      </c>
      <c r="L2841" s="8">
        <v>0.4375</v>
      </c>
      <c r="M2841" s="6" t="s">
        <v>3891</v>
      </c>
      <c r="N2841" s="14" t="s">
        <v>21</v>
      </c>
      <c r="O2841" s="6" t="s">
        <v>22</v>
      </c>
    </row>
    <row r="2842" spans="1:15">
      <c r="A2842" s="6" t="s">
        <v>15</v>
      </c>
      <c r="B2842" s="6" t="str">
        <f>"FES1162690791"</f>
        <v>FES1162690791</v>
      </c>
      <c r="C2842" s="7">
        <v>43607</v>
      </c>
      <c r="D2842" s="6">
        <v>1</v>
      </c>
      <c r="E2842" s="6">
        <v>2170689006</v>
      </c>
      <c r="F2842" s="6" t="s">
        <v>16</v>
      </c>
      <c r="G2842" s="6" t="s">
        <v>17</v>
      </c>
      <c r="H2842" s="6" t="s">
        <v>17</v>
      </c>
      <c r="I2842" s="6" t="s">
        <v>84</v>
      </c>
      <c r="J2842" s="6" t="s">
        <v>85</v>
      </c>
      <c r="K2842" s="7">
        <v>43608</v>
      </c>
      <c r="L2842" s="8">
        <v>0.33333333333333331</v>
      </c>
      <c r="M2842" s="6" t="s">
        <v>3892</v>
      </c>
      <c r="N2842" s="14" t="s">
        <v>21</v>
      </c>
      <c r="O2842" s="6" t="s">
        <v>22</v>
      </c>
    </row>
    <row r="2843" spans="1:15" hidden="1">
      <c r="A2843" s="6" t="s">
        <v>15</v>
      </c>
      <c r="B2843" s="6" t="str">
        <f>"FES1162691154"</f>
        <v>FES1162691154</v>
      </c>
      <c r="C2843" s="7">
        <v>43607</v>
      </c>
      <c r="D2843" s="6">
        <v>1</v>
      </c>
      <c r="E2843" s="6">
        <v>2170689560</v>
      </c>
      <c r="F2843" s="6" t="s">
        <v>16</v>
      </c>
      <c r="G2843" s="6" t="s">
        <v>17</v>
      </c>
      <c r="H2843" s="6" t="s">
        <v>290</v>
      </c>
      <c r="I2843" s="6" t="s">
        <v>309</v>
      </c>
      <c r="J2843" s="6" t="s">
        <v>3893</v>
      </c>
      <c r="K2843" s="7">
        <v>43608</v>
      </c>
      <c r="L2843" s="8">
        <v>0.37222222222222223</v>
      </c>
      <c r="M2843" s="6" t="s">
        <v>3894</v>
      </c>
      <c r="N2843" s="14" t="s">
        <v>21</v>
      </c>
      <c r="O2843" s="6" t="s">
        <v>22</v>
      </c>
    </row>
    <row r="2844" spans="1:15" hidden="1">
      <c r="A2844" s="6" t="s">
        <v>15</v>
      </c>
      <c r="B2844" s="6" t="str">
        <f>"FES1162691113"</f>
        <v>FES1162691113</v>
      </c>
      <c r="C2844" s="7">
        <v>43607</v>
      </c>
      <c r="D2844" s="6">
        <v>1</v>
      </c>
      <c r="E2844" s="6">
        <v>217681714</v>
      </c>
      <c r="F2844" s="6" t="s">
        <v>16</v>
      </c>
      <c r="G2844" s="6" t="s">
        <v>17</v>
      </c>
      <c r="H2844" s="6" t="s">
        <v>290</v>
      </c>
      <c r="I2844" s="6" t="s">
        <v>291</v>
      </c>
      <c r="J2844" s="6" t="s">
        <v>1668</v>
      </c>
      <c r="K2844" s="7">
        <v>43608</v>
      </c>
      <c r="L2844" s="8">
        <v>0.43402777777777773</v>
      </c>
      <c r="M2844" s="6" t="s">
        <v>3895</v>
      </c>
      <c r="N2844" s="14" t="s">
        <v>21</v>
      </c>
      <c r="O2844" s="6" t="s">
        <v>22</v>
      </c>
    </row>
    <row r="2845" spans="1:15" hidden="1">
      <c r="A2845" s="6" t="s">
        <v>15</v>
      </c>
      <c r="B2845" s="6" t="str">
        <f>"FES1162691219"</f>
        <v>FES1162691219</v>
      </c>
      <c r="C2845" s="7">
        <v>43607</v>
      </c>
      <c r="D2845" s="6">
        <v>1</v>
      </c>
      <c r="E2845" s="6">
        <v>2170687505</v>
      </c>
      <c r="F2845" s="6" t="s">
        <v>16</v>
      </c>
      <c r="G2845" s="6" t="s">
        <v>17</v>
      </c>
      <c r="H2845" s="6" t="s">
        <v>290</v>
      </c>
      <c r="I2845" s="6" t="s">
        <v>309</v>
      </c>
      <c r="J2845" s="6" t="s">
        <v>1301</v>
      </c>
      <c r="K2845" s="7">
        <v>43608</v>
      </c>
      <c r="L2845" s="8">
        <v>0.4375</v>
      </c>
      <c r="M2845" s="6" t="s">
        <v>3896</v>
      </c>
      <c r="N2845" s="14" t="s">
        <v>21</v>
      </c>
      <c r="O2845" s="6" t="s">
        <v>22</v>
      </c>
    </row>
    <row r="2846" spans="1:15" hidden="1">
      <c r="A2846" s="6" t="s">
        <v>15</v>
      </c>
      <c r="B2846" s="6" t="str">
        <f>"FES1162691110"</f>
        <v>FES1162691110</v>
      </c>
      <c r="C2846" s="7">
        <v>43607</v>
      </c>
      <c r="D2846" s="6">
        <v>1</v>
      </c>
      <c r="E2846" s="6">
        <v>21706875225</v>
      </c>
      <c r="F2846" s="6" t="s">
        <v>16</v>
      </c>
      <c r="G2846" s="6" t="s">
        <v>17</v>
      </c>
      <c r="H2846" s="6" t="s">
        <v>290</v>
      </c>
      <c r="I2846" s="6" t="s">
        <v>291</v>
      </c>
      <c r="J2846" s="6" t="s">
        <v>671</v>
      </c>
      <c r="K2846" s="7">
        <v>43608</v>
      </c>
      <c r="L2846" s="8">
        <v>0.4375</v>
      </c>
      <c r="M2846" s="6" t="s">
        <v>2762</v>
      </c>
      <c r="N2846" s="14" t="s">
        <v>21</v>
      </c>
      <c r="O2846" s="6" t="s">
        <v>22</v>
      </c>
    </row>
    <row r="2847" spans="1:15">
      <c r="A2847" s="6" t="s">
        <v>15</v>
      </c>
      <c r="B2847" s="6" t="str">
        <f>"FES1162690758"</f>
        <v>FES1162690758</v>
      </c>
      <c r="C2847" s="7">
        <v>43607</v>
      </c>
      <c r="D2847" s="6">
        <v>1</v>
      </c>
      <c r="E2847" s="6">
        <v>2170688937</v>
      </c>
      <c r="F2847" s="6" t="s">
        <v>16</v>
      </c>
      <c r="G2847" s="6" t="s">
        <v>17</v>
      </c>
      <c r="H2847" s="6" t="s">
        <v>17</v>
      </c>
      <c r="I2847" s="6" t="s">
        <v>64</v>
      </c>
      <c r="J2847" s="6" t="s">
        <v>552</v>
      </c>
      <c r="K2847" s="7">
        <v>43608</v>
      </c>
      <c r="L2847" s="8">
        <v>0.33333333333333331</v>
      </c>
      <c r="M2847" s="6" t="s">
        <v>100</v>
      </c>
      <c r="N2847" s="14" t="s">
        <v>21</v>
      </c>
      <c r="O2847" s="6" t="s">
        <v>22</v>
      </c>
    </row>
    <row r="2848" spans="1:15" hidden="1">
      <c r="A2848" s="6" t="s">
        <v>15</v>
      </c>
      <c r="B2848" s="6" t="str">
        <f>"FES1162691155"</f>
        <v>FES1162691155</v>
      </c>
      <c r="C2848" s="7">
        <v>43607</v>
      </c>
      <c r="D2848" s="6">
        <v>1</v>
      </c>
      <c r="E2848" s="6">
        <v>2170689561</v>
      </c>
      <c r="F2848" s="6" t="s">
        <v>16</v>
      </c>
      <c r="G2848" s="6" t="s">
        <v>17</v>
      </c>
      <c r="H2848" s="6" t="s">
        <v>290</v>
      </c>
      <c r="I2848" s="6" t="s">
        <v>316</v>
      </c>
      <c r="J2848" s="6" t="s">
        <v>317</v>
      </c>
      <c r="K2848" s="7">
        <v>43608</v>
      </c>
      <c r="L2848" s="8">
        <v>0.54166666666666663</v>
      </c>
      <c r="M2848" s="6" t="s">
        <v>2571</v>
      </c>
      <c r="N2848" s="14" t="s">
        <v>21</v>
      </c>
      <c r="O2848" s="6" t="s">
        <v>22</v>
      </c>
    </row>
    <row r="2849" spans="1:15" hidden="1">
      <c r="A2849" s="6" t="s">
        <v>15</v>
      </c>
      <c r="B2849" s="6" t="str">
        <f>"FES1162691137"</f>
        <v>FES1162691137</v>
      </c>
      <c r="C2849" s="7">
        <v>43607</v>
      </c>
      <c r="D2849" s="6">
        <v>1</v>
      </c>
      <c r="E2849" s="6">
        <v>2170688721</v>
      </c>
      <c r="F2849" s="6" t="s">
        <v>16</v>
      </c>
      <c r="G2849" s="6" t="s">
        <v>17</v>
      </c>
      <c r="H2849" s="6" t="s">
        <v>290</v>
      </c>
      <c r="I2849" s="6" t="s">
        <v>291</v>
      </c>
      <c r="J2849" s="6" t="s">
        <v>1744</v>
      </c>
      <c r="K2849" s="7">
        <v>43608</v>
      </c>
      <c r="L2849" s="8">
        <v>0.375</v>
      </c>
      <c r="M2849" s="6" t="s">
        <v>3897</v>
      </c>
      <c r="N2849" s="14" t="s">
        <v>21</v>
      </c>
      <c r="O2849" s="6" t="s">
        <v>22</v>
      </c>
    </row>
    <row r="2850" spans="1:15">
      <c r="A2850" s="17" t="s">
        <v>15</v>
      </c>
      <c r="B2850" s="17" t="str">
        <f>"FES1162691298"</f>
        <v>FES1162691298</v>
      </c>
      <c r="C2850" s="18">
        <v>43607</v>
      </c>
      <c r="D2850" s="17">
        <v>1</v>
      </c>
      <c r="E2850" s="17">
        <v>2170689677</v>
      </c>
      <c r="F2850" s="17" t="s">
        <v>16</v>
      </c>
      <c r="G2850" s="17" t="s">
        <v>17</v>
      </c>
      <c r="H2850" s="17" t="s">
        <v>17</v>
      </c>
      <c r="I2850" s="17" t="s">
        <v>64</v>
      </c>
      <c r="J2850" s="17" t="s">
        <v>875</v>
      </c>
      <c r="K2850" s="18">
        <v>43608</v>
      </c>
      <c r="L2850" s="19">
        <v>0.375</v>
      </c>
      <c r="M2850" s="17" t="s">
        <v>3784</v>
      </c>
      <c r="N2850" s="26" t="s">
        <v>21</v>
      </c>
      <c r="O2850" s="17" t="s">
        <v>22</v>
      </c>
    </row>
    <row r="2851" spans="1:15">
      <c r="A2851" s="6" t="s">
        <v>15</v>
      </c>
      <c r="B2851" s="6" t="str">
        <f>"FES1162691199"</f>
        <v>FES1162691199</v>
      </c>
      <c r="C2851" s="7">
        <v>43607</v>
      </c>
      <c r="D2851" s="6">
        <v>1</v>
      </c>
      <c r="E2851" s="6">
        <v>2170687097</v>
      </c>
      <c r="F2851" s="6" t="s">
        <v>16</v>
      </c>
      <c r="G2851" s="6" t="s">
        <v>17</v>
      </c>
      <c r="H2851" s="6" t="s">
        <v>17</v>
      </c>
      <c r="I2851" s="6" t="s">
        <v>103</v>
      </c>
      <c r="J2851" s="6" t="s">
        <v>1493</v>
      </c>
      <c r="K2851" s="7">
        <v>43609</v>
      </c>
      <c r="L2851" s="8">
        <v>0.42083333333333334</v>
      </c>
      <c r="M2851" s="6" t="s">
        <v>3898</v>
      </c>
      <c r="N2851" s="6" t="s">
        <v>21</v>
      </c>
      <c r="O2851" s="6" t="s">
        <v>22</v>
      </c>
    </row>
    <row r="2852" spans="1:15">
      <c r="A2852" s="6" t="s">
        <v>15</v>
      </c>
      <c r="B2852" s="6" t="str">
        <f>"FES1162691189"</f>
        <v>FES1162691189</v>
      </c>
      <c r="C2852" s="7">
        <v>43607</v>
      </c>
      <c r="D2852" s="6">
        <v>1</v>
      </c>
      <c r="E2852" s="6">
        <v>2170689603</v>
      </c>
      <c r="F2852" s="6" t="s">
        <v>16</v>
      </c>
      <c r="G2852" s="6" t="s">
        <v>17</v>
      </c>
      <c r="H2852" s="6" t="s">
        <v>17</v>
      </c>
      <c r="I2852" s="6" t="s">
        <v>701</v>
      </c>
      <c r="J2852" s="6" t="s">
        <v>1379</v>
      </c>
      <c r="K2852" s="7">
        <v>43608</v>
      </c>
      <c r="L2852" s="8">
        <v>0.3923611111111111</v>
      </c>
      <c r="M2852" s="6" t="s">
        <v>3899</v>
      </c>
      <c r="N2852" s="14" t="s">
        <v>21</v>
      </c>
      <c r="O2852" s="6" t="s">
        <v>22</v>
      </c>
    </row>
    <row r="2853" spans="1:15">
      <c r="A2853" s="6" t="s">
        <v>15</v>
      </c>
      <c r="B2853" s="6" t="str">
        <f>"FES1162691257"</f>
        <v>FES1162691257</v>
      </c>
      <c r="C2853" s="7">
        <v>43607</v>
      </c>
      <c r="D2853" s="6">
        <v>1</v>
      </c>
      <c r="E2853" s="6">
        <v>2170689633</v>
      </c>
      <c r="F2853" s="6" t="s">
        <v>16</v>
      </c>
      <c r="G2853" s="6" t="s">
        <v>17</v>
      </c>
      <c r="H2853" s="6" t="s">
        <v>17</v>
      </c>
      <c r="I2853" s="6" t="s">
        <v>67</v>
      </c>
      <c r="J2853" s="6" t="s">
        <v>1455</v>
      </c>
      <c r="K2853" s="7">
        <v>43608</v>
      </c>
      <c r="L2853" s="8">
        <v>0.4375</v>
      </c>
      <c r="M2853" s="6" t="s">
        <v>3900</v>
      </c>
      <c r="N2853" s="14" t="s">
        <v>21</v>
      </c>
      <c r="O2853" s="6" t="s">
        <v>22</v>
      </c>
    </row>
    <row r="2854" spans="1:15">
      <c r="A2854" s="17" t="s">
        <v>15</v>
      </c>
      <c r="B2854" s="17" t="str">
        <f>"FES1162691241"</f>
        <v>FES1162691241</v>
      </c>
      <c r="C2854" s="18">
        <v>43607</v>
      </c>
      <c r="D2854" s="17">
        <v>1</v>
      </c>
      <c r="E2854" s="17">
        <v>2170689610</v>
      </c>
      <c r="F2854" s="17" t="s">
        <v>16</v>
      </c>
      <c r="G2854" s="17" t="s">
        <v>17</v>
      </c>
      <c r="H2854" s="17" t="s">
        <v>17</v>
      </c>
      <c r="I2854" s="17" t="s">
        <v>64</v>
      </c>
      <c r="J2854" s="17" t="s">
        <v>3901</v>
      </c>
      <c r="K2854" s="18">
        <v>43608</v>
      </c>
      <c r="L2854" s="19">
        <v>0.4375</v>
      </c>
      <c r="M2854" s="17" t="s">
        <v>3862</v>
      </c>
      <c r="N2854" s="26" t="s">
        <v>21</v>
      </c>
      <c r="O2854" s="17" t="s">
        <v>3902</v>
      </c>
    </row>
    <row r="2855" spans="1:15">
      <c r="A2855" s="6" t="s">
        <v>15</v>
      </c>
      <c r="B2855" s="6" t="str">
        <f>"FES1162691128"</f>
        <v>FES1162691128</v>
      </c>
      <c r="C2855" s="7">
        <v>43607</v>
      </c>
      <c r="D2855" s="6">
        <v>1</v>
      </c>
      <c r="E2855" s="6">
        <v>2170688056</v>
      </c>
      <c r="F2855" s="6" t="s">
        <v>16</v>
      </c>
      <c r="G2855" s="6" t="s">
        <v>17</v>
      </c>
      <c r="H2855" s="6" t="s">
        <v>17</v>
      </c>
      <c r="I2855" s="6" t="s">
        <v>23</v>
      </c>
      <c r="J2855" s="6" t="s">
        <v>2591</v>
      </c>
      <c r="K2855" s="7">
        <v>43608</v>
      </c>
      <c r="L2855" s="8">
        <v>0.35138888888888892</v>
      </c>
      <c r="M2855" s="6" t="s">
        <v>3903</v>
      </c>
      <c r="N2855" s="14" t="s">
        <v>21</v>
      </c>
      <c r="O2855" s="6" t="s">
        <v>22</v>
      </c>
    </row>
    <row r="2856" spans="1:15">
      <c r="A2856" s="6" t="s">
        <v>15</v>
      </c>
      <c r="B2856" s="6" t="str">
        <f>"FES1162691296"</f>
        <v>FES1162691296</v>
      </c>
      <c r="C2856" s="7">
        <v>43607</v>
      </c>
      <c r="D2856" s="6">
        <v>1</v>
      </c>
      <c r="E2856" s="6">
        <v>2170689675</v>
      </c>
      <c r="F2856" s="6" t="s">
        <v>16</v>
      </c>
      <c r="G2856" s="6" t="s">
        <v>17</v>
      </c>
      <c r="H2856" s="6" t="s">
        <v>17</v>
      </c>
      <c r="I2856" s="6" t="s">
        <v>18</v>
      </c>
      <c r="J2856" s="6" t="s">
        <v>3904</v>
      </c>
      <c r="K2856" s="7">
        <v>43608</v>
      </c>
      <c r="L2856" s="8">
        <v>0.45694444444444443</v>
      </c>
      <c r="M2856" s="6" t="s">
        <v>3336</v>
      </c>
      <c r="N2856" s="14" t="s">
        <v>21</v>
      </c>
      <c r="O2856" s="6" t="s">
        <v>22</v>
      </c>
    </row>
    <row r="2857" spans="1:15">
      <c r="A2857" s="6" t="s">
        <v>15</v>
      </c>
      <c r="B2857" s="6" t="str">
        <f>"FES1162691148"</f>
        <v>FES1162691148</v>
      </c>
      <c r="C2857" s="7">
        <v>43607</v>
      </c>
      <c r="D2857" s="6">
        <v>1</v>
      </c>
      <c r="E2857" s="6">
        <v>2170689551</v>
      </c>
      <c r="F2857" s="6" t="s">
        <v>16</v>
      </c>
      <c r="G2857" s="6" t="s">
        <v>17</v>
      </c>
      <c r="H2857" s="6" t="s">
        <v>17</v>
      </c>
      <c r="I2857" s="6" t="s">
        <v>64</v>
      </c>
      <c r="J2857" s="6" t="s">
        <v>2922</v>
      </c>
      <c r="K2857" s="7">
        <v>43608</v>
      </c>
      <c r="L2857" s="8">
        <v>0.33333333333333331</v>
      </c>
      <c r="M2857" s="6" t="s">
        <v>2923</v>
      </c>
      <c r="N2857" s="14" t="s">
        <v>21</v>
      </c>
      <c r="O2857" s="6" t="s">
        <v>22</v>
      </c>
    </row>
    <row r="2858" spans="1:15">
      <c r="A2858" s="6" t="s">
        <v>15</v>
      </c>
      <c r="B2858" s="6" t="str">
        <f>"FES1162691237"</f>
        <v>FES1162691237</v>
      </c>
      <c r="C2858" s="7">
        <v>43607</v>
      </c>
      <c r="D2858" s="6">
        <v>1</v>
      </c>
      <c r="E2858" s="6">
        <v>2170687985</v>
      </c>
      <c r="F2858" s="6" t="s">
        <v>16</v>
      </c>
      <c r="G2858" s="6" t="s">
        <v>17</v>
      </c>
      <c r="H2858" s="6" t="s">
        <v>17</v>
      </c>
      <c r="I2858" s="6" t="s">
        <v>64</v>
      </c>
      <c r="J2858" s="6" t="s">
        <v>116</v>
      </c>
      <c r="K2858" s="7">
        <v>43608</v>
      </c>
      <c r="L2858" s="8">
        <v>0.4375</v>
      </c>
      <c r="M2858" s="6" t="s">
        <v>3905</v>
      </c>
      <c r="N2858" s="14" t="s">
        <v>21</v>
      </c>
      <c r="O2858" s="6" t="s">
        <v>22</v>
      </c>
    </row>
    <row r="2859" spans="1:15">
      <c r="A2859" s="6" t="s">
        <v>15</v>
      </c>
      <c r="B2859" s="6" t="str">
        <f>"FES1162691134"</f>
        <v>FES1162691134</v>
      </c>
      <c r="C2859" s="7">
        <v>43607</v>
      </c>
      <c r="D2859" s="6">
        <v>1</v>
      </c>
      <c r="E2859" s="6">
        <v>2170688105</v>
      </c>
      <c r="F2859" s="6" t="s">
        <v>16</v>
      </c>
      <c r="G2859" s="6" t="s">
        <v>17</v>
      </c>
      <c r="H2859" s="6" t="s">
        <v>17</v>
      </c>
      <c r="I2859" s="6" t="s">
        <v>421</v>
      </c>
      <c r="J2859" s="6" t="s">
        <v>2586</v>
      </c>
      <c r="K2859" s="7">
        <v>43608</v>
      </c>
      <c r="L2859" s="8">
        <v>0.4375</v>
      </c>
      <c r="M2859" s="6" t="s">
        <v>2587</v>
      </c>
      <c r="N2859" s="14" t="s">
        <v>21</v>
      </c>
      <c r="O2859" s="6" t="s">
        <v>22</v>
      </c>
    </row>
    <row r="2860" spans="1:15">
      <c r="A2860" s="6" t="s">
        <v>15</v>
      </c>
      <c r="B2860" s="6" t="str">
        <f>"FES1162691236"</f>
        <v>FES1162691236</v>
      </c>
      <c r="C2860" s="7">
        <v>43607</v>
      </c>
      <c r="D2860" s="6">
        <v>1</v>
      </c>
      <c r="E2860" s="6">
        <v>2170687933</v>
      </c>
      <c r="F2860" s="6" t="s">
        <v>16</v>
      </c>
      <c r="G2860" s="6" t="s">
        <v>17</v>
      </c>
      <c r="H2860" s="6" t="s">
        <v>17</v>
      </c>
      <c r="I2860" s="6" t="s">
        <v>29</v>
      </c>
      <c r="J2860" s="6" t="s">
        <v>616</v>
      </c>
      <c r="K2860" s="7">
        <v>43608</v>
      </c>
      <c r="L2860" s="8">
        <v>0.41250000000000003</v>
      </c>
      <c r="M2860" s="6" t="s">
        <v>481</v>
      </c>
      <c r="N2860" s="14" t="s">
        <v>21</v>
      </c>
      <c r="O2860" s="6" t="s">
        <v>22</v>
      </c>
    </row>
    <row r="2861" spans="1:15">
      <c r="A2861" s="6" t="s">
        <v>15</v>
      </c>
      <c r="B2861" s="6" t="str">
        <f>"FES1162691190"</f>
        <v>FES1162691190</v>
      </c>
      <c r="C2861" s="7">
        <v>43607</v>
      </c>
      <c r="D2861" s="6">
        <v>1</v>
      </c>
      <c r="E2861" s="6">
        <v>2170689604</v>
      </c>
      <c r="F2861" s="6" t="s">
        <v>16</v>
      </c>
      <c r="G2861" s="6" t="s">
        <v>17</v>
      </c>
      <c r="H2861" s="6" t="s">
        <v>17</v>
      </c>
      <c r="I2861" s="6" t="s">
        <v>103</v>
      </c>
      <c r="J2861" s="6" t="s">
        <v>616</v>
      </c>
      <c r="K2861" s="7">
        <v>43608</v>
      </c>
      <c r="L2861" s="8">
        <v>0.43472222222222223</v>
      </c>
      <c r="M2861" s="6" t="s">
        <v>3814</v>
      </c>
      <c r="N2861" s="14" t="s">
        <v>21</v>
      </c>
      <c r="O2861" s="6" t="s">
        <v>22</v>
      </c>
    </row>
    <row r="2862" spans="1:15" hidden="1">
      <c r="A2862" s="6" t="s">
        <v>15</v>
      </c>
      <c r="B2862" s="6" t="str">
        <f>"FES1162691299"</f>
        <v>FES1162691299</v>
      </c>
      <c r="C2862" s="7">
        <v>43607</v>
      </c>
      <c r="D2862" s="6">
        <v>1</v>
      </c>
      <c r="E2862" s="6">
        <v>2170687987</v>
      </c>
      <c r="F2862" s="6" t="s">
        <v>16</v>
      </c>
      <c r="G2862" s="6" t="s">
        <v>17</v>
      </c>
      <c r="H2862" s="6" t="s">
        <v>37</v>
      </c>
      <c r="I2862" s="6" t="s">
        <v>38</v>
      </c>
      <c r="J2862" s="6" t="s">
        <v>535</v>
      </c>
      <c r="K2862" s="7">
        <v>43608</v>
      </c>
      <c r="L2862" s="8">
        <v>0.35416666666666669</v>
      </c>
      <c r="M2862" s="6" t="s">
        <v>1648</v>
      </c>
      <c r="N2862" s="14" t="s">
        <v>21</v>
      </c>
      <c r="O2862" s="6" t="s">
        <v>22</v>
      </c>
    </row>
    <row r="2863" spans="1:15">
      <c r="A2863" s="6" t="s">
        <v>15</v>
      </c>
      <c r="B2863" s="6" t="str">
        <f>"FES1162691287"</f>
        <v>FES1162691287</v>
      </c>
      <c r="C2863" s="7">
        <v>43607</v>
      </c>
      <c r="D2863" s="6">
        <v>1</v>
      </c>
      <c r="E2863" s="6">
        <v>217068667</v>
      </c>
      <c r="F2863" s="6" t="s">
        <v>16</v>
      </c>
      <c r="G2863" s="6" t="s">
        <v>17</v>
      </c>
      <c r="H2863" s="6" t="s">
        <v>17</v>
      </c>
      <c r="I2863" s="6" t="s">
        <v>103</v>
      </c>
      <c r="J2863" s="6" t="s">
        <v>2090</v>
      </c>
      <c r="K2863" s="7">
        <v>43608</v>
      </c>
      <c r="L2863" s="8">
        <v>0.41319444444444442</v>
      </c>
      <c r="M2863" s="6" t="s">
        <v>3906</v>
      </c>
      <c r="N2863" s="14" t="s">
        <v>21</v>
      </c>
      <c r="O2863" s="6" t="s">
        <v>22</v>
      </c>
    </row>
    <row r="2864" spans="1:15">
      <c r="A2864" s="6" t="s">
        <v>15</v>
      </c>
      <c r="B2864" s="6" t="str">
        <f>"FES1162691165"</f>
        <v>FES1162691165</v>
      </c>
      <c r="C2864" s="7">
        <v>43607</v>
      </c>
      <c r="D2864" s="6">
        <v>1</v>
      </c>
      <c r="E2864" s="6">
        <v>2170689573</v>
      </c>
      <c r="F2864" s="6" t="s">
        <v>16</v>
      </c>
      <c r="G2864" s="6" t="s">
        <v>17</v>
      </c>
      <c r="H2864" s="6" t="s">
        <v>17</v>
      </c>
      <c r="I2864" s="6" t="s">
        <v>103</v>
      </c>
      <c r="J2864" s="6" t="s">
        <v>616</v>
      </c>
      <c r="K2864" s="7">
        <v>43608</v>
      </c>
      <c r="L2864" s="8">
        <v>0.43472222222222223</v>
      </c>
      <c r="M2864" s="6" t="s">
        <v>3814</v>
      </c>
      <c r="N2864" s="14" t="s">
        <v>21</v>
      </c>
      <c r="O2864" s="6" t="s">
        <v>22</v>
      </c>
    </row>
    <row r="2865" spans="1:15">
      <c r="A2865" s="6" t="s">
        <v>15</v>
      </c>
      <c r="B2865" s="6" t="str">
        <f>"FES1162691124"</f>
        <v>FES1162691124</v>
      </c>
      <c r="C2865" s="7">
        <v>43607</v>
      </c>
      <c r="D2865" s="6">
        <v>1</v>
      </c>
      <c r="E2865" s="6">
        <v>2170687976</v>
      </c>
      <c r="F2865" s="6" t="s">
        <v>16</v>
      </c>
      <c r="G2865" s="6" t="s">
        <v>17</v>
      </c>
      <c r="H2865" s="6" t="s">
        <v>17</v>
      </c>
      <c r="I2865" s="6" t="s">
        <v>81</v>
      </c>
      <c r="J2865" s="6" t="s">
        <v>82</v>
      </c>
      <c r="K2865" s="7">
        <v>43608</v>
      </c>
      <c r="L2865" s="8">
        <v>0.37986111111111115</v>
      </c>
      <c r="M2865" s="6" t="s">
        <v>3907</v>
      </c>
      <c r="N2865" s="14" t="s">
        <v>21</v>
      </c>
      <c r="O2865" s="6" t="s">
        <v>22</v>
      </c>
    </row>
    <row r="2866" spans="1:15">
      <c r="A2866" s="6" t="s">
        <v>15</v>
      </c>
      <c r="B2866" s="6" t="str">
        <f>"FES1162691222"</f>
        <v>FES1162691222</v>
      </c>
      <c r="C2866" s="7">
        <v>43607</v>
      </c>
      <c r="D2866" s="6">
        <v>1</v>
      </c>
      <c r="E2866" s="6">
        <v>2170687532</v>
      </c>
      <c r="F2866" s="6" t="s">
        <v>16</v>
      </c>
      <c r="G2866" s="6" t="s">
        <v>17</v>
      </c>
      <c r="H2866" s="6" t="s">
        <v>17</v>
      </c>
      <c r="I2866" s="6" t="s">
        <v>23</v>
      </c>
      <c r="J2866" s="6" t="s">
        <v>479</v>
      </c>
      <c r="K2866" s="7">
        <v>43608</v>
      </c>
      <c r="L2866" s="8">
        <v>0.36527777777777781</v>
      </c>
      <c r="M2866" s="6" t="s">
        <v>3908</v>
      </c>
      <c r="N2866" s="14" t="s">
        <v>21</v>
      </c>
      <c r="O2866" s="6" t="s">
        <v>22</v>
      </c>
    </row>
    <row r="2867" spans="1:15" hidden="1">
      <c r="A2867" s="6" t="s">
        <v>15</v>
      </c>
      <c r="B2867" s="6" t="str">
        <f>"FES1162691288"</f>
        <v>FES1162691288</v>
      </c>
      <c r="C2867" s="7">
        <v>43607</v>
      </c>
      <c r="D2867" s="6">
        <v>1</v>
      </c>
      <c r="E2867" s="6">
        <v>2170689668</v>
      </c>
      <c r="F2867" s="6" t="s">
        <v>16</v>
      </c>
      <c r="G2867" s="6" t="s">
        <v>17</v>
      </c>
      <c r="H2867" s="6" t="s">
        <v>290</v>
      </c>
      <c r="I2867" s="6" t="s">
        <v>309</v>
      </c>
      <c r="J2867" s="6" t="s">
        <v>331</v>
      </c>
      <c r="K2867" s="7">
        <v>43608</v>
      </c>
      <c r="L2867" s="8">
        <v>0.42777777777777781</v>
      </c>
      <c r="M2867" s="6" t="s">
        <v>332</v>
      </c>
      <c r="N2867" s="14" t="s">
        <v>21</v>
      </c>
      <c r="O2867" s="6" t="s">
        <v>22</v>
      </c>
    </row>
    <row r="2868" spans="1:15">
      <c r="A2868" s="6" t="s">
        <v>15</v>
      </c>
      <c r="B2868" s="6" t="str">
        <f>"FES1162691262"</f>
        <v>FES1162691262</v>
      </c>
      <c r="C2868" s="7">
        <v>43607</v>
      </c>
      <c r="D2868" s="6">
        <v>2</v>
      </c>
      <c r="E2868" s="6">
        <v>2170689380</v>
      </c>
      <c r="F2868" s="6" t="s">
        <v>1433</v>
      </c>
      <c r="G2868" s="6" t="s">
        <v>17</v>
      </c>
      <c r="H2868" s="6" t="s">
        <v>17</v>
      </c>
      <c r="I2868" s="6" t="s">
        <v>414</v>
      </c>
      <c r="J2868" s="6" t="s">
        <v>3909</v>
      </c>
      <c r="K2868" s="7">
        <v>43608</v>
      </c>
      <c r="L2868" s="8">
        <v>0.42777777777777781</v>
      </c>
      <c r="M2868" s="6" t="s">
        <v>3910</v>
      </c>
      <c r="N2868" s="14" t="s">
        <v>21</v>
      </c>
      <c r="O2868" s="6" t="s">
        <v>494</v>
      </c>
    </row>
    <row r="2869" spans="1:15">
      <c r="A2869" s="6" t="s">
        <v>15</v>
      </c>
      <c r="B2869" s="6" t="str">
        <f>"FES1162691255"</f>
        <v>FES1162691255</v>
      </c>
      <c r="C2869" s="7">
        <v>43607</v>
      </c>
      <c r="D2869" s="6">
        <v>1</v>
      </c>
      <c r="E2869" s="6">
        <v>2170689462</v>
      </c>
      <c r="F2869" s="6" t="s">
        <v>16</v>
      </c>
      <c r="G2869" s="6" t="s">
        <v>17</v>
      </c>
      <c r="H2869" s="6" t="s">
        <v>17</v>
      </c>
      <c r="I2869" s="6" t="s">
        <v>23</v>
      </c>
      <c r="J2869" s="6" t="s">
        <v>3911</v>
      </c>
      <c r="K2869" s="7">
        <v>43608</v>
      </c>
      <c r="L2869" s="8">
        <v>0.3840277777777778</v>
      </c>
      <c r="M2869" s="6" t="s">
        <v>3912</v>
      </c>
      <c r="N2869" s="14" t="s">
        <v>21</v>
      </c>
      <c r="O2869" s="6" t="s">
        <v>22</v>
      </c>
    </row>
    <row r="2870" spans="1:15" hidden="1">
      <c r="A2870" s="6" t="s">
        <v>15</v>
      </c>
      <c r="B2870" s="6" t="str">
        <f>"FES1162691229"</f>
        <v>FES1162691229</v>
      </c>
      <c r="C2870" s="7">
        <v>43607</v>
      </c>
      <c r="D2870" s="6">
        <v>1</v>
      </c>
      <c r="E2870" s="6">
        <v>2170687639</v>
      </c>
      <c r="F2870" s="6" t="s">
        <v>16</v>
      </c>
      <c r="G2870" s="6" t="s">
        <v>17</v>
      </c>
      <c r="H2870" s="6" t="s">
        <v>141</v>
      </c>
      <c r="I2870" s="6" t="s">
        <v>142</v>
      </c>
      <c r="J2870" s="6" t="s">
        <v>2157</v>
      </c>
      <c r="K2870" s="7">
        <v>43608</v>
      </c>
      <c r="L2870" s="8">
        <v>0.41666666666666669</v>
      </c>
      <c r="M2870" s="6" t="s">
        <v>3744</v>
      </c>
      <c r="N2870" s="14" t="s">
        <v>21</v>
      </c>
      <c r="O2870" s="6" t="s">
        <v>22</v>
      </c>
    </row>
    <row r="2871" spans="1:15" hidden="1">
      <c r="A2871" s="6" t="s">
        <v>15</v>
      </c>
      <c r="B2871" s="6" t="str">
        <f>"FES1162691307"</f>
        <v>FES1162691307</v>
      </c>
      <c r="C2871" s="7">
        <v>43607</v>
      </c>
      <c r="D2871" s="6">
        <v>1</v>
      </c>
      <c r="E2871" s="6">
        <v>2170686518</v>
      </c>
      <c r="F2871" s="6" t="s">
        <v>16</v>
      </c>
      <c r="G2871" s="6" t="s">
        <v>17</v>
      </c>
      <c r="H2871" s="6" t="s">
        <v>32</v>
      </c>
      <c r="I2871" s="6" t="s">
        <v>269</v>
      </c>
      <c r="J2871" s="6" t="s">
        <v>683</v>
      </c>
      <c r="K2871" s="7">
        <v>43608</v>
      </c>
      <c r="L2871" s="8">
        <v>0.36805555555555558</v>
      </c>
      <c r="M2871" s="6" t="s">
        <v>684</v>
      </c>
      <c r="N2871" s="14" t="s">
        <v>21</v>
      </c>
      <c r="O2871" s="6" t="s">
        <v>22</v>
      </c>
    </row>
    <row r="2872" spans="1:15" hidden="1">
      <c r="A2872" s="6" t="s">
        <v>15</v>
      </c>
      <c r="B2872" s="6" t="str">
        <f>"FES1162691281"</f>
        <v>FES1162691281</v>
      </c>
      <c r="C2872" s="7">
        <v>43607</v>
      </c>
      <c r="D2872" s="6">
        <v>1</v>
      </c>
      <c r="E2872" s="6">
        <v>2170689659</v>
      </c>
      <c r="F2872" s="6" t="s">
        <v>16</v>
      </c>
      <c r="G2872" s="6" t="s">
        <v>17</v>
      </c>
      <c r="H2872" s="6" t="s">
        <v>141</v>
      </c>
      <c r="I2872" s="6" t="s">
        <v>185</v>
      </c>
      <c r="J2872" s="6" t="s">
        <v>461</v>
      </c>
      <c r="K2872" s="7">
        <v>43608</v>
      </c>
      <c r="L2872" s="8">
        <v>0.42152777777777778</v>
      </c>
      <c r="M2872" s="6" t="s">
        <v>3913</v>
      </c>
      <c r="N2872" s="14" t="s">
        <v>21</v>
      </c>
      <c r="O2872" s="6" t="s">
        <v>22</v>
      </c>
    </row>
    <row r="2873" spans="1:15" hidden="1">
      <c r="A2873" s="6" t="s">
        <v>15</v>
      </c>
      <c r="B2873" s="6" t="str">
        <f>"FES1162691158"</f>
        <v>FES1162691158</v>
      </c>
      <c r="C2873" s="7">
        <v>43607</v>
      </c>
      <c r="D2873" s="6">
        <v>1</v>
      </c>
      <c r="E2873" s="6">
        <v>2170689565</v>
      </c>
      <c r="F2873" s="6" t="s">
        <v>16</v>
      </c>
      <c r="G2873" s="6" t="s">
        <v>17</v>
      </c>
      <c r="H2873" s="6" t="s">
        <v>141</v>
      </c>
      <c r="I2873" s="6" t="s">
        <v>185</v>
      </c>
      <c r="J2873" s="6" t="s">
        <v>1916</v>
      </c>
      <c r="K2873" s="7">
        <v>43608</v>
      </c>
      <c r="L2873" s="8">
        <v>0.4236111111111111</v>
      </c>
      <c r="M2873" s="6" t="s">
        <v>1917</v>
      </c>
      <c r="N2873" s="14" t="s">
        <v>21</v>
      </c>
      <c r="O2873" s="6" t="s">
        <v>22</v>
      </c>
    </row>
    <row r="2874" spans="1:15">
      <c r="A2874" s="6" t="s">
        <v>15</v>
      </c>
      <c r="B2874" s="6" t="str">
        <f>"FES1162691149"</f>
        <v>FES1162691149</v>
      </c>
      <c r="C2874" s="7">
        <v>43607</v>
      </c>
      <c r="D2874" s="6">
        <v>1</v>
      </c>
      <c r="E2874" s="6">
        <v>2170689554</v>
      </c>
      <c r="F2874" s="6" t="s">
        <v>16</v>
      </c>
      <c r="G2874" s="6" t="s">
        <v>17</v>
      </c>
      <c r="H2874" s="6" t="s">
        <v>17</v>
      </c>
      <c r="I2874" s="6" t="s">
        <v>64</v>
      </c>
      <c r="J2874" s="6" t="s">
        <v>65</v>
      </c>
      <c r="K2874" s="7">
        <v>43608</v>
      </c>
      <c r="L2874" s="8">
        <v>0.33333333333333331</v>
      </c>
      <c r="M2874" s="6" t="s">
        <v>481</v>
      </c>
      <c r="N2874" s="14" t="s">
        <v>21</v>
      </c>
      <c r="O2874" s="6" t="s">
        <v>22</v>
      </c>
    </row>
    <row r="2875" spans="1:15" hidden="1">
      <c r="A2875" s="6" t="s">
        <v>15</v>
      </c>
      <c r="B2875" s="6" t="str">
        <f>"FES1162691295"</f>
        <v>FES1162691295</v>
      </c>
      <c r="C2875" s="7">
        <v>43607</v>
      </c>
      <c r="D2875" s="6">
        <v>1</v>
      </c>
      <c r="E2875" s="6">
        <v>2170689674</v>
      </c>
      <c r="F2875" s="6" t="s">
        <v>16</v>
      </c>
      <c r="G2875" s="6" t="s">
        <v>17</v>
      </c>
      <c r="H2875" s="6" t="s">
        <v>132</v>
      </c>
      <c r="I2875" s="6" t="s">
        <v>133</v>
      </c>
      <c r="J2875" s="6" t="s">
        <v>238</v>
      </c>
      <c r="K2875" s="7">
        <v>43608</v>
      </c>
      <c r="L2875" s="8">
        <v>0.32777777777777778</v>
      </c>
      <c r="M2875" s="6" t="s">
        <v>3914</v>
      </c>
      <c r="N2875" s="14" t="s">
        <v>21</v>
      </c>
      <c r="O2875" s="6" t="s">
        <v>22</v>
      </c>
    </row>
    <row r="2876" spans="1:15" hidden="1">
      <c r="A2876" s="6" t="s">
        <v>15</v>
      </c>
      <c r="B2876" s="6" t="str">
        <f>"FES1162691119"</f>
        <v>FES1162691119</v>
      </c>
      <c r="C2876" s="7">
        <v>43607</v>
      </c>
      <c r="D2876" s="6">
        <v>1</v>
      </c>
      <c r="E2876" s="6">
        <v>2170687090</v>
      </c>
      <c r="F2876" s="6" t="s">
        <v>16</v>
      </c>
      <c r="G2876" s="6" t="s">
        <v>17</v>
      </c>
      <c r="H2876" s="6" t="s">
        <v>141</v>
      </c>
      <c r="I2876" s="6" t="s">
        <v>142</v>
      </c>
      <c r="J2876" s="6" t="s">
        <v>917</v>
      </c>
      <c r="K2876" s="7">
        <v>43608</v>
      </c>
      <c r="L2876" s="8">
        <v>0.33749999999999997</v>
      </c>
      <c r="M2876" s="6" t="s">
        <v>3915</v>
      </c>
      <c r="N2876" s="14" t="s">
        <v>21</v>
      </c>
      <c r="O2876" s="6" t="s">
        <v>22</v>
      </c>
    </row>
    <row r="2877" spans="1:15" hidden="1">
      <c r="A2877" s="6" t="s">
        <v>15</v>
      </c>
      <c r="B2877" s="6" t="str">
        <f>"FES1162691142"</f>
        <v>FES1162691142</v>
      </c>
      <c r="C2877" s="7">
        <v>43607</v>
      </c>
      <c r="D2877" s="6">
        <v>1</v>
      </c>
      <c r="E2877" s="6">
        <v>2170689314</v>
      </c>
      <c r="F2877" s="6" t="s">
        <v>16</v>
      </c>
      <c r="G2877" s="6" t="s">
        <v>17</v>
      </c>
      <c r="H2877" s="6" t="s">
        <v>141</v>
      </c>
      <c r="I2877" s="6" t="s">
        <v>142</v>
      </c>
      <c r="J2877" s="6" t="s">
        <v>1718</v>
      </c>
      <c r="K2877" s="7">
        <v>43608</v>
      </c>
      <c r="L2877" s="8">
        <v>0.40416666666666662</v>
      </c>
      <c r="M2877" s="6" t="s">
        <v>3916</v>
      </c>
      <c r="N2877" s="14" t="s">
        <v>21</v>
      </c>
      <c r="O2877" s="6" t="s">
        <v>22</v>
      </c>
    </row>
    <row r="2878" spans="1:15" hidden="1">
      <c r="A2878" s="6" t="s">
        <v>15</v>
      </c>
      <c r="B2878" s="6" t="str">
        <f>"FES1162691206"</f>
        <v>FES1162691206</v>
      </c>
      <c r="C2878" s="7">
        <v>43607</v>
      </c>
      <c r="D2878" s="6">
        <v>1</v>
      </c>
      <c r="E2878" s="6">
        <v>2170687255</v>
      </c>
      <c r="F2878" s="6" t="s">
        <v>16</v>
      </c>
      <c r="G2878" s="6" t="s">
        <v>17</v>
      </c>
      <c r="H2878" s="6" t="s">
        <v>141</v>
      </c>
      <c r="I2878" s="6" t="s">
        <v>142</v>
      </c>
      <c r="J2878" s="6" t="s">
        <v>228</v>
      </c>
      <c r="K2878" s="7">
        <v>43608</v>
      </c>
      <c r="L2878" s="8">
        <v>0.38541666666666669</v>
      </c>
      <c r="M2878" s="6" t="s">
        <v>229</v>
      </c>
      <c r="N2878" s="14" t="s">
        <v>21</v>
      </c>
      <c r="O2878" s="6" t="s">
        <v>22</v>
      </c>
    </row>
    <row r="2879" spans="1:15" hidden="1">
      <c r="A2879" s="6" t="s">
        <v>15</v>
      </c>
      <c r="B2879" s="6" t="str">
        <f>"FES1162691150"</f>
        <v>FES1162691150</v>
      </c>
      <c r="C2879" s="7">
        <v>43607</v>
      </c>
      <c r="D2879" s="6">
        <v>1</v>
      </c>
      <c r="E2879" s="6">
        <v>2170689555</v>
      </c>
      <c r="F2879" s="6" t="s">
        <v>16</v>
      </c>
      <c r="G2879" s="6" t="s">
        <v>17</v>
      </c>
      <c r="H2879" s="6" t="s">
        <v>141</v>
      </c>
      <c r="I2879" s="6" t="s">
        <v>185</v>
      </c>
      <c r="J2879" s="6" t="s">
        <v>515</v>
      </c>
      <c r="K2879" s="7">
        <v>43608</v>
      </c>
      <c r="L2879" s="8">
        <v>0.37708333333333338</v>
      </c>
      <c r="M2879" s="6" t="s">
        <v>2391</v>
      </c>
      <c r="N2879" s="14" t="s">
        <v>21</v>
      </c>
      <c r="O2879" s="6" t="s">
        <v>22</v>
      </c>
    </row>
    <row r="2880" spans="1:15" hidden="1">
      <c r="A2880" s="6" t="s">
        <v>15</v>
      </c>
      <c r="B2880" s="6" t="str">
        <f>"FES1162691184"</f>
        <v>FES1162691184</v>
      </c>
      <c r="C2880" s="7">
        <v>43607</v>
      </c>
      <c r="D2880" s="6">
        <v>2</v>
      </c>
      <c r="E2880" s="6">
        <v>2170689596</v>
      </c>
      <c r="F2880" s="6" t="s">
        <v>58</v>
      </c>
      <c r="G2880" s="6" t="s">
        <v>59</v>
      </c>
      <c r="H2880" s="6" t="s">
        <v>59</v>
      </c>
      <c r="I2880" s="6" t="s">
        <v>64</v>
      </c>
      <c r="J2880" s="6" t="s">
        <v>3607</v>
      </c>
      <c r="K2880" s="7">
        <v>43608</v>
      </c>
      <c r="L2880" s="8">
        <v>0.38958333333333334</v>
      </c>
      <c r="M2880" s="6" t="s">
        <v>481</v>
      </c>
      <c r="N2880" s="14" t="s">
        <v>21</v>
      </c>
      <c r="O2880" s="6" t="s">
        <v>22</v>
      </c>
    </row>
    <row r="2881" spans="1:15" hidden="1">
      <c r="A2881" s="6" t="s">
        <v>15</v>
      </c>
      <c r="B2881" s="6" t="str">
        <f>"FES1162691139"</f>
        <v>FES1162691139</v>
      </c>
      <c r="C2881" s="7">
        <v>43607</v>
      </c>
      <c r="D2881" s="6">
        <v>1</v>
      </c>
      <c r="E2881" s="6">
        <v>2170688989</v>
      </c>
      <c r="F2881" s="6" t="s">
        <v>16</v>
      </c>
      <c r="G2881" s="6" t="s">
        <v>17</v>
      </c>
      <c r="H2881" s="6" t="s">
        <v>132</v>
      </c>
      <c r="I2881" s="6" t="s">
        <v>137</v>
      </c>
      <c r="J2881" s="6" t="s">
        <v>138</v>
      </c>
      <c r="K2881" s="7">
        <v>43608</v>
      </c>
      <c r="L2881" s="8">
        <v>0.46875</v>
      </c>
      <c r="M2881" s="6" t="s">
        <v>2542</v>
      </c>
      <c r="N2881" s="14" t="s">
        <v>21</v>
      </c>
      <c r="O2881" s="6" t="s">
        <v>22</v>
      </c>
    </row>
    <row r="2882" spans="1:15" hidden="1">
      <c r="A2882" s="6" t="s">
        <v>15</v>
      </c>
      <c r="B2882" s="6" t="str">
        <f>"FES1162690550"</f>
        <v>FES1162690550</v>
      </c>
      <c r="C2882" s="7">
        <v>43607</v>
      </c>
      <c r="D2882" s="6">
        <v>1</v>
      </c>
      <c r="E2882" s="6">
        <v>21706888812</v>
      </c>
      <c r="F2882" s="6" t="s">
        <v>16</v>
      </c>
      <c r="G2882" s="6" t="s">
        <v>17</v>
      </c>
      <c r="H2882" s="6" t="s">
        <v>141</v>
      </c>
      <c r="I2882" s="6" t="s">
        <v>142</v>
      </c>
      <c r="J2882" s="6" t="s">
        <v>3917</v>
      </c>
      <c r="K2882" s="7">
        <v>43608</v>
      </c>
      <c r="L2882" s="8">
        <v>0.32777777777777778</v>
      </c>
      <c r="M2882" s="6" t="s">
        <v>3918</v>
      </c>
      <c r="N2882" s="14" t="s">
        <v>21</v>
      </c>
      <c r="O2882" s="6" t="s">
        <v>22</v>
      </c>
    </row>
    <row r="2883" spans="1:15" hidden="1">
      <c r="A2883" s="6" t="s">
        <v>15</v>
      </c>
      <c r="B2883" s="6" t="str">
        <f>"FES1162691169"</f>
        <v>FES1162691169</v>
      </c>
      <c r="C2883" s="7">
        <v>43607</v>
      </c>
      <c r="D2883" s="6">
        <v>1</v>
      </c>
      <c r="E2883" s="6">
        <v>217063895777</v>
      </c>
      <c r="F2883" s="6" t="s">
        <v>16</v>
      </c>
      <c r="G2883" s="6" t="s">
        <v>17</v>
      </c>
      <c r="H2883" s="6" t="s">
        <v>322</v>
      </c>
      <c r="I2883" s="6" t="s">
        <v>618</v>
      </c>
      <c r="J2883" s="6" t="s">
        <v>619</v>
      </c>
      <c r="K2883" s="7">
        <v>43608</v>
      </c>
      <c r="L2883" s="8">
        <v>0.45833333333333331</v>
      </c>
      <c r="M2883" s="6" t="s">
        <v>620</v>
      </c>
      <c r="N2883" s="14" t="s">
        <v>21</v>
      </c>
      <c r="O2883" s="6" t="s">
        <v>22</v>
      </c>
    </row>
    <row r="2884" spans="1:15" hidden="1">
      <c r="A2884" s="6" t="s">
        <v>15</v>
      </c>
      <c r="B2884" s="6" t="str">
        <f>"FES1162691159"</f>
        <v>FES1162691159</v>
      </c>
      <c r="C2884" s="7">
        <v>43607</v>
      </c>
      <c r="D2884" s="6">
        <v>1</v>
      </c>
      <c r="E2884" s="6">
        <v>2170689567</v>
      </c>
      <c r="F2884" s="6" t="s">
        <v>16</v>
      </c>
      <c r="G2884" s="6" t="s">
        <v>17</v>
      </c>
      <c r="H2884" s="6" t="s">
        <v>43</v>
      </c>
      <c r="I2884" s="6" t="s">
        <v>44</v>
      </c>
      <c r="J2884" s="6" t="s">
        <v>336</v>
      </c>
      <c r="K2884" s="7">
        <v>43608</v>
      </c>
      <c r="L2884" s="8">
        <v>0.34583333333333338</v>
      </c>
      <c r="M2884" s="6" t="s">
        <v>1502</v>
      </c>
      <c r="N2884" s="14" t="s">
        <v>21</v>
      </c>
      <c r="O2884" s="6" t="s">
        <v>22</v>
      </c>
    </row>
    <row r="2885" spans="1:15" hidden="1">
      <c r="A2885" s="6" t="s">
        <v>15</v>
      </c>
      <c r="B2885" s="6" t="str">
        <f>"FES1162691130"</f>
        <v>FES1162691130</v>
      </c>
      <c r="C2885" s="7">
        <v>43607</v>
      </c>
      <c r="D2885" s="6">
        <v>1</v>
      </c>
      <c r="E2885" s="6">
        <v>21706888079</v>
      </c>
      <c r="F2885" s="6" t="s">
        <v>16</v>
      </c>
      <c r="G2885" s="6" t="s">
        <v>17</v>
      </c>
      <c r="H2885" s="6" t="s">
        <v>132</v>
      </c>
      <c r="I2885" s="6" t="s">
        <v>133</v>
      </c>
      <c r="J2885" s="6" t="s">
        <v>639</v>
      </c>
      <c r="K2885" s="7">
        <v>43608</v>
      </c>
      <c r="L2885" s="8">
        <v>0.36944444444444446</v>
      </c>
      <c r="M2885" s="6" t="s">
        <v>1931</v>
      </c>
      <c r="N2885" s="14" t="s">
        <v>21</v>
      </c>
      <c r="O2885" s="6" t="s">
        <v>22</v>
      </c>
    </row>
    <row r="2886" spans="1:15" hidden="1">
      <c r="A2886" s="6" t="s">
        <v>15</v>
      </c>
      <c r="B2886" s="6" t="str">
        <f>"FES1162691201"</f>
        <v>FES1162691201</v>
      </c>
      <c r="C2886" s="7">
        <v>43607</v>
      </c>
      <c r="D2886" s="6">
        <v>1</v>
      </c>
      <c r="E2886" s="6">
        <v>2170687156</v>
      </c>
      <c r="F2886" s="6" t="s">
        <v>16</v>
      </c>
      <c r="G2886" s="6" t="s">
        <v>17</v>
      </c>
      <c r="H2886" s="6" t="s">
        <v>141</v>
      </c>
      <c r="I2886" s="6" t="s">
        <v>142</v>
      </c>
      <c r="J2886" s="6" t="s">
        <v>1296</v>
      </c>
      <c r="K2886" s="7">
        <v>43608</v>
      </c>
      <c r="L2886" s="8">
        <v>0.4375</v>
      </c>
      <c r="M2886" s="6" t="s">
        <v>3722</v>
      </c>
      <c r="N2886" s="14" t="s">
        <v>21</v>
      </c>
      <c r="O2886" s="6" t="s">
        <v>22</v>
      </c>
    </row>
    <row r="2887" spans="1:15" hidden="1">
      <c r="A2887" s="6" t="s">
        <v>15</v>
      </c>
      <c r="B2887" s="6" t="str">
        <f>"FES1162691203"</f>
        <v>FES1162691203</v>
      </c>
      <c r="C2887" s="7">
        <v>43607</v>
      </c>
      <c r="D2887" s="6">
        <v>1</v>
      </c>
      <c r="E2887" s="6">
        <v>2170687187</v>
      </c>
      <c r="F2887" s="6" t="s">
        <v>16</v>
      </c>
      <c r="G2887" s="6" t="s">
        <v>17</v>
      </c>
      <c r="H2887" s="6" t="s">
        <v>141</v>
      </c>
      <c r="I2887" s="6" t="s">
        <v>1950</v>
      </c>
      <c r="J2887" s="6" t="s">
        <v>3919</v>
      </c>
      <c r="K2887" s="7">
        <v>43608</v>
      </c>
      <c r="L2887" s="8">
        <v>0.48958333333333331</v>
      </c>
      <c r="M2887" s="6" t="s">
        <v>3920</v>
      </c>
      <c r="N2887" s="14" t="s">
        <v>21</v>
      </c>
      <c r="O2887" s="6" t="s">
        <v>22</v>
      </c>
    </row>
    <row r="2888" spans="1:15">
      <c r="A2888" s="6" t="s">
        <v>15</v>
      </c>
      <c r="B2888" s="6" t="str">
        <f>"FES1162691254"</f>
        <v>FES1162691254</v>
      </c>
      <c r="C2888" s="7">
        <v>43607</v>
      </c>
      <c r="D2888" s="6">
        <v>1</v>
      </c>
      <c r="E2888" s="6">
        <v>2170683462</v>
      </c>
      <c r="F2888" s="6" t="s">
        <v>16</v>
      </c>
      <c r="G2888" s="6" t="s">
        <v>17</v>
      </c>
      <c r="H2888" s="6" t="s">
        <v>17</v>
      </c>
      <c r="I2888" s="6" t="s">
        <v>564</v>
      </c>
      <c r="J2888" s="6" t="s">
        <v>565</v>
      </c>
      <c r="K2888" s="7">
        <v>43608</v>
      </c>
      <c r="L2888" s="8">
        <v>0.33333333333333331</v>
      </c>
      <c r="M2888" s="6" t="s">
        <v>1326</v>
      </c>
      <c r="N2888" s="14" t="s">
        <v>21</v>
      </c>
      <c r="O2888" s="6" t="s">
        <v>22</v>
      </c>
    </row>
    <row r="2889" spans="1:15" hidden="1">
      <c r="A2889" s="6" t="s">
        <v>15</v>
      </c>
      <c r="B2889" s="6" t="str">
        <f>"FES1162691297"</f>
        <v>FES1162691297</v>
      </c>
      <c r="C2889" s="7">
        <v>43607</v>
      </c>
      <c r="D2889" s="6">
        <v>1</v>
      </c>
      <c r="E2889" s="6">
        <v>2170689676</v>
      </c>
      <c r="F2889" s="6" t="s">
        <v>16</v>
      </c>
      <c r="G2889" s="6" t="s">
        <v>17</v>
      </c>
      <c r="H2889" s="6" t="s">
        <v>141</v>
      </c>
      <c r="I2889" s="6" t="s">
        <v>142</v>
      </c>
      <c r="J2889" s="6" t="s">
        <v>228</v>
      </c>
      <c r="K2889" s="7">
        <v>43608</v>
      </c>
      <c r="L2889" s="8">
        <v>0.38611111111111113</v>
      </c>
      <c r="M2889" s="6" t="s">
        <v>229</v>
      </c>
      <c r="N2889" s="14" t="s">
        <v>21</v>
      </c>
      <c r="O2889" s="6" t="s">
        <v>22</v>
      </c>
    </row>
    <row r="2890" spans="1:15" hidden="1">
      <c r="A2890" s="6" t="s">
        <v>15</v>
      </c>
      <c r="B2890" s="6" t="str">
        <f>"FES1162691210"</f>
        <v>FES1162691210</v>
      </c>
      <c r="C2890" s="7">
        <v>43607</v>
      </c>
      <c r="D2890" s="6">
        <v>1</v>
      </c>
      <c r="E2890" s="6">
        <v>2170687328</v>
      </c>
      <c r="F2890" s="6" t="s">
        <v>16</v>
      </c>
      <c r="G2890" s="6" t="s">
        <v>17</v>
      </c>
      <c r="H2890" s="6" t="s">
        <v>132</v>
      </c>
      <c r="I2890" s="6" t="s">
        <v>133</v>
      </c>
      <c r="J2890" s="6" t="s">
        <v>189</v>
      </c>
      <c r="K2890" s="7">
        <v>43608</v>
      </c>
      <c r="L2890" s="8">
        <v>0.40972222222222227</v>
      </c>
      <c r="M2890" s="6" t="s">
        <v>1415</v>
      </c>
      <c r="N2890" s="14" t="s">
        <v>21</v>
      </c>
      <c r="O2890" s="6" t="s">
        <v>22</v>
      </c>
    </row>
    <row r="2891" spans="1:15" hidden="1">
      <c r="A2891" s="6" t="s">
        <v>15</v>
      </c>
      <c r="B2891" s="6" t="str">
        <f>"FES1162691118"</f>
        <v>FES1162691118</v>
      </c>
      <c r="C2891" s="7">
        <v>43607</v>
      </c>
      <c r="D2891" s="6">
        <v>1</v>
      </c>
      <c r="E2891" s="6">
        <v>2170686757</v>
      </c>
      <c r="F2891" s="6" t="s">
        <v>16</v>
      </c>
      <c r="G2891" s="6" t="s">
        <v>17</v>
      </c>
      <c r="H2891" s="6" t="s">
        <v>141</v>
      </c>
      <c r="I2891" s="6" t="s">
        <v>142</v>
      </c>
      <c r="J2891" s="6" t="s">
        <v>917</v>
      </c>
      <c r="K2891" s="7">
        <v>43608</v>
      </c>
      <c r="L2891" s="8">
        <v>0.33749999999999997</v>
      </c>
      <c r="M2891" s="6" t="s">
        <v>3915</v>
      </c>
      <c r="N2891" s="14" t="s">
        <v>21</v>
      </c>
      <c r="O2891" s="6" t="s">
        <v>22</v>
      </c>
    </row>
    <row r="2892" spans="1:15" hidden="1">
      <c r="A2892" s="6" t="s">
        <v>15</v>
      </c>
      <c r="B2892" s="6" t="str">
        <f>"FES1162691215"</f>
        <v>FES1162691215</v>
      </c>
      <c r="C2892" s="7">
        <v>43607</v>
      </c>
      <c r="D2892" s="6">
        <v>1</v>
      </c>
      <c r="E2892" s="6">
        <v>2170687411</v>
      </c>
      <c r="F2892" s="6" t="s">
        <v>16</v>
      </c>
      <c r="G2892" s="6" t="s">
        <v>17</v>
      </c>
      <c r="H2892" s="6" t="s">
        <v>141</v>
      </c>
      <c r="I2892" s="6" t="s">
        <v>142</v>
      </c>
      <c r="J2892" s="6" t="s">
        <v>3921</v>
      </c>
      <c r="K2892" s="7">
        <v>43608</v>
      </c>
      <c r="L2892" s="8">
        <v>0.31666666666666665</v>
      </c>
      <c r="M2892" s="6" t="s">
        <v>3483</v>
      </c>
      <c r="N2892" s="14" t="s">
        <v>21</v>
      </c>
      <c r="O2892" s="6" t="s">
        <v>22</v>
      </c>
    </row>
    <row r="2893" spans="1:15" hidden="1">
      <c r="A2893" s="6" t="s">
        <v>15</v>
      </c>
      <c r="B2893" s="6" t="str">
        <f>"FES1162691275"</f>
        <v>FES1162691275</v>
      </c>
      <c r="C2893" s="7">
        <v>43607</v>
      </c>
      <c r="D2893" s="6">
        <v>1</v>
      </c>
      <c r="E2893" s="6">
        <v>2170689651</v>
      </c>
      <c r="F2893" s="6" t="s">
        <v>16</v>
      </c>
      <c r="G2893" s="6" t="s">
        <v>17</v>
      </c>
      <c r="H2893" s="6" t="s">
        <v>43</v>
      </c>
      <c r="I2893" s="6" t="s">
        <v>738</v>
      </c>
      <c r="J2893" s="6" t="s">
        <v>339</v>
      </c>
      <c r="K2893" s="7">
        <v>43608</v>
      </c>
      <c r="L2893" s="8">
        <v>0.43263888888888885</v>
      </c>
      <c r="M2893" s="6" t="s">
        <v>1483</v>
      </c>
      <c r="N2893" s="14" t="s">
        <v>21</v>
      </c>
      <c r="O2893" s="6" t="s">
        <v>22</v>
      </c>
    </row>
    <row r="2894" spans="1:15" hidden="1">
      <c r="A2894" s="6" t="s">
        <v>15</v>
      </c>
      <c r="B2894" s="6" t="str">
        <f>"FES1162691122"</f>
        <v>FES1162691122</v>
      </c>
      <c r="C2894" s="7">
        <v>43607</v>
      </c>
      <c r="D2894" s="6">
        <v>1</v>
      </c>
      <c r="E2894" s="6">
        <v>2170687735</v>
      </c>
      <c r="F2894" s="6" t="s">
        <v>16</v>
      </c>
      <c r="G2894" s="6" t="s">
        <v>17</v>
      </c>
      <c r="H2894" s="6" t="s">
        <v>132</v>
      </c>
      <c r="I2894" s="6" t="s">
        <v>133</v>
      </c>
      <c r="J2894" s="6" t="s">
        <v>247</v>
      </c>
      <c r="K2894" s="7">
        <v>43608</v>
      </c>
      <c r="L2894" s="8">
        <v>0.3756944444444445</v>
      </c>
      <c r="M2894" s="6" t="s">
        <v>3922</v>
      </c>
      <c r="N2894" s="14" t="s">
        <v>21</v>
      </c>
      <c r="O2894" s="6" t="s">
        <v>22</v>
      </c>
    </row>
    <row r="2895" spans="1:15" hidden="1">
      <c r="A2895" s="6" t="s">
        <v>15</v>
      </c>
      <c r="B2895" s="6" t="str">
        <f>"FES1162691266"</f>
        <v>FES1162691266</v>
      </c>
      <c r="C2895" s="7">
        <v>43607</v>
      </c>
      <c r="D2895" s="6">
        <v>1</v>
      </c>
      <c r="E2895" s="6">
        <v>2170689638</v>
      </c>
      <c r="F2895" s="6" t="s">
        <v>16</v>
      </c>
      <c r="G2895" s="6" t="s">
        <v>17</v>
      </c>
      <c r="H2895" s="6" t="s">
        <v>141</v>
      </c>
      <c r="I2895" s="6" t="s">
        <v>448</v>
      </c>
      <c r="J2895" s="6" t="s">
        <v>2064</v>
      </c>
      <c r="K2895" s="7">
        <v>43608</v>
      </c>
      <c r="L2895" s="8">
        <v>0.36041666666666666</v>
      </c>
      <c r="M2895" s="6" t="s">
        <v>2065</v>
      </c>
      <c r="N2895" s="14" t="s">
        <v>21</v>
      </c>
      <c r="O2895" s="6" t="s">
        <v>22</v>
      </c>
    </row>
    <row r="2896" spans="1:15" hidden="1">
      <c r="A2896" s="6" t="s">
        <v>15</v>
      </c>
      <c r="B2896" s="6" t="str">
        <f>"FES1162691326"</f>
        <v>FES1162691326</v>
      </c>
      <c r="C2896" s="7">
        <v>43607</v>
      </c>
      <c r="D2896" s="6">
        <v>1</v>
      </c>
      <c r="E2896" s="6">
        <v>2170686933</v>
      </c>
      <c r="F2896" s="6" t="s">
        <v>16</v>
      </c>
      <c r="G2896" s="6" t="s">
        <v>17</v>
      </c>
      <c r="H2896" s="6" t="s">
        <v>32</v>
      </c>
      <c r="I2896" s="6" t="s">
        <v>33</v>
      </c>
      <c r="J2896" s="6" t="s">
        <v>1438</v>
      </c>
      <c r="K2896" s="7">
        <v>43608</v>
      </c>
      <c r="L2896" s="8">
        <v>0.375</v>
      </c>
      <c r="M2896" s="6" t="s">
        <v>1439</v>
      </c>
      <c r="N2896" s="14" t="s">
        <v>21</v>
      </c>
      <c r="O2896" s="6" t="s">
        <v>22</v>
      </c>
    </row>
    <row r="2897" spans="1:15" hidden="1">
      <c r="A2897" s="6" t="s">
        <v>15</v>
      </c>
      <c r="B2897" s="6" t="str">
        <f>"FES1162691328"</f>
        <v>FES1162691328</v>
      </c>
      <c r="C2897" s="7">
        <v>43607</v>
      </c>
      <c r="D2897" s="6">
        <v>1</v>
      </c>
      <c r="E2897" s="6">
        <v>2170689715</v>
      </c>
      <c r="F2897" s="6" t="s">
        <v>16</v>
      </c>
      <c r="G2897" s="6" t="s">
        <v>17</v>
      </c>
      <c r="H2897" s="6" t="s">
        <v>32</v>
      </c>
      <c r="I2897" s="6" t="s">
        <v>33</v>
      </c>
      <c r="J2897" s="6" t="s">
        <v>360</v>
      </c>
      <c r="K2897" s="7">
        <v>43608</v>
      </c>
      <c r="L2897" s="8">
        <v>0.36805555555555558</v>
      </c>
      <c r="M2897" s="6" t="s">
        <v>3923</v>
      </c>
      <c r="N2897" s="14" t="s">
        <v>21</v>
      </c>
      <c r="O2897" s="6" t="s">
        <v>22</v>
      </c>
    </row>
    <row r="2898" spans="1:15" hidden="1">
      <c r="A2898" s="6" t="s">
        <v>15</v>
      </c>
      <c r="B2898" s="6" t="str">
        <f>"FES1162691167"</f>
        <v>FES1162691167</v>
      </c>
      <c r="C2898" s="7">
        <v>43607</v>
      </c>
      <c r="D2898" s="6">
        <v>1</v>
      </c>
      <c r="E2898" s="6">
        <v>2170689575</v>
      </c>
      <c r="F2898" s="6" t="s">
        <v>16</v>
      </c>
      <c r="G2898" s="6" t="s">
        <v>17</v>
      </c>
      <c r="H2898" s="6" t="s">
        <v>290</v>
      </c>
      <c r="I2898" s="6" t="s">
        <v>309</v>
      </c>
      <c r="J2898" s="6" t="s">
        <v>3924</v>
      </c>
      <c r="K2898" s="7">
        <v>43608</v>
      </c>
      <c r="L2898" s="8">
        <v>0.3611111111111111</v>
      </c>
      <c r="M2898" s="6" t="s">
        <v>3925</v>
      </c>
      <c r="N2898" s="14" t="s">
        <v>21</v>
      </c>
      <c r="O2898" s="6" t="s">
        <v>22</v>
      </c>
    </row>
    <row r="2899" spans="1:15" hidden="1">
      <c r="A2899" s="6" t="s">
        <v>15</v>
      </c>
      <c r="B2899" s="6" t="str">
        <f>"FES1162691177"</f>
        <v>FES1162691177</v>
      </c>
      <c r="C2899" s="7">
        <v>43607</v>
      </c>
      <c r="D2899" s="6">
        <v>1</v>
      </c>
      <c r="E2899" s="6">
        <v>2170689586</v>
      </c>
      <c r="F2899" s="6" t="s">
        <v>16</v>
      </c>
      <c r="G2899" s="6" t="s">
        <v>17</v>
      </c>
      <c r="H2899" s="6" t="s">
        <v>37</v>
      </c>
      <c r="I2899" s="6" t="s">
        <v>38</v>
      </c>
      <c r="J2899" s="6" t="s">
        <v>1204</v>
      </c>
      <c r="K2899" s="7">
        <v>43608</v>
      </c>
      <c r="L2899" s="8">
        <v>0.41666666666666669</v>
      </c>
      <c r="M2899" s="6" t="s">
        <v>3926</v>
      </c>
      <c r="N2899" s="14" t="s">
        <v>21</v>
      </c>
      <c r="O2899" s="6" t="s">
        <v>22</v>
      </c>
    </row>
    <row r="2900" spans="1:15" hidden="1">
      <c r="A2900" s="6" t="s">
        <v>15</v>
      </c>
      <c r="B2900" s="6" t="str">
        <f>"FES1162691332"</f>
        <v>FES1162691332</v>
      </c>
      <c r="C2900" s="7">
        <v>43607</v>
      </c>
      <c r="D2900" s="6">
        <v>1</v>
      </c>
      <c r="E2900" s="6">
        <v>2170989721</v>
      </c>
      <c r="F2900" s="6" t="s">
        <v>16</v>
      </c>
      <c r="G2900" s="6" t="s">
        <v>17</v>
      </c>
      <c r="H2900" s="6" t="s">
        <v>32</v>
      </c>
      <c r="I2900" s="6" t="s">
        <v>33</v>
      </c>
      <c r="J2900" s="6" t="s">
        <v>360</v>
      </c>
      <c r="K2900" s="7">
        <v>43608</v>
      </c>
      <c r="L2900" s="8">
        <v>0.36805555555555558</v>
      </c>
      <c r="M2900" s="6" t="s">
        <v>3927</v>
      </c>
      <c r="N2900" s="14" t="s">
        <v>21</v>
      </c>
      <c r="O2900" s="6" t="s">
        <v>22</v>
      </c>
    </row>
    <row r="2901" spans="1:15" hidden="1">
      <c r="A2901" s="6" t="s">
        <v>15</v>
      </c>
      <c r="B2901" s="6" t="str">
        <f>"FES1162691273"</f>
        <v>FES1162691273</v>
      </c>
      <c r="C2901" s="7">
        <v>43607</v>
      </c>
      <c r="D2901" s="6">
        <v>1</v>
      </c>
      <c r="E2901" s="6">
        <v>2170689645</v>
      </c>
      <c r="F2901" s="6" t="s">
        <v>16</v>
      </c>
      <c r="G2901" s="6" t="s">
        <v>17</v>
      </c>
      <c r="H2901" s="6" t="s">
        <v>43</v>
      </c>
      <c r="I2901" s="6" t="s">
        <v>75</v>
      </c>
      <c r="J2901" s="6" t="s">
        <v>222</v>
      </c>
      <c r="K2901" s="7">
        <v>43608</v>
      </c>
      <c r="L2901" s="8">
        <v>0.44513888888888892</v>
      </c>
      <c r="M2901" s="6" t="s">
        <v>223</v>
      </c>
      <c r="N2901" s="14" t="s">
        <v>21</v>
      </c>
      <c r="O2901" s="6" t="s">
        <v>22</v>
      </c>
    </row>
    <row r="2902" spans="1:15" hidden="1">
      <c r="A2902" s="6" t="s">
        <v>15</v>
      </c>
      <c r="B2902" s="6" t="str">
        <f>"FES1162691280"</f>
        <v>FES1162691280</v>
      </c>
      <c r="C2902" s="7">
        <v>43607</v>
      </c>
      <c r="D2902" s="6">
        <v>1</v>
      </c>
      <c r="E2902" s="6">
        <v>2170689658</v>
      </c>
      <c r="F2902" s="6" t="s">
        <v>16</v>
      </c>
      <c r="G2902" s="6" t="s">
        <v>17</v>
      </c>
      <c r="H2902" s="6" t="s">
        <v>43</v>
      </c>
      <c r="I2902" s="6" t="s">
        <v>44</v>
      </c>
      <c r="J2902" s="6" t="s">
        <v>665</v>
      </c>
      <c r="K2902" s="7">
        <v>43608</v>
      </c>
      <c r="L2902" s="8">
        <v>0.33749999999999997</v>
      </c>
      <c r="M2902" s="6" t="s">
        <v>3928</v>
      </c>
      <c r="N2902" s="14" t="s">
        <v>21</v>
      </c>
      <c r="O2902" s="6" t="s">
        <v>22</v>
      </c>
    </row>
    <row r="2903" spans="1:15" hidden="1">
      <c r="A2903" s="6" t="s">
        <v>15</v>
      </c>
      <c r="B2903" s="6" t="str">
        <f>"FES1162691286"</f>
        <v>FES1162691286</v>
      </c>
      <c r="C2903" s="7">
        <v>43607</v>
      </c>
      <c r="D2903" s="6">
        <v>1</v>
      </c>
      <c r="E2903" s="6">
        <v>2170689665</v>
      </c>
      <c r="F2903" s="6" t="s">
        <v>16</v>
      </c>
      <c r="G2903" s="6" t="s">
        <v>17</v>
      </c>
      <c r="H2903" s="6" t="s">
        <v>43</v>
      </c>
      <c r="I2903" s="6" t="s">
        <v>44</v>
      </c>
      <c r="J2903" s="6" t="s">
        <v>3929</v>
      </c>
      <c r="K2903" s="7">
        <v>43608</v>
      </c>
      <c r="L2903" s="8">
        <v>0.3354166666666667</v>
      </c>
      <c r="M2903" s="6" t="s">
        <v>3930</v>
      </c>
      <c r="N2903" s="14" t="s">
        <v>21</v>
      </c>
      <c r="O2903" s="6" t="s">
        <v>22</v>
      </c>
    </row>
    <row r="2904" spans="1:15" hidden="1">
      <c r="A2904" s="6" t="s">
        <v>15</v>
      </c>
      <c r="B2904" s="6" t="str">
        <f>"FES1162691321"</f>
        <v>FES1162691321</v>
      </c>
      <c r="C2904" s="7">
        <v>43607</v>
      </c>
      <c r="D2904" s="6">
        <v>1</v>
      </c>
      <c r="E2904" s="6">
        <v>21706897907</v>
      </c>
      <c r="F2904" s="6" t="s">
        <v>16</v>
      </c>
      <c r="G2904" s="6" t="s">
        <v>17</v>
      </c>
      <c r="H2904" s="6" t="s">
        <v>43</v>
      </c>
      <c r="I2904" s="6" t="s">
        <v>54</v>
      </c>
      <c r="J2904" s="6" t="s">
        <v>216</v>
      </c>
      <c r="K2904" s="7">
        <v>43608</v>
      </c>
      <c r="L2904" s="8">
        <v>0.41666666666666669</v>
      </c>
      <c r="M2904" s="6" t="s">
        <v>656</v>
      </c>
      <c r="N2904" s="14" t="s">
        <v>21</v>
      </c>
      <c r="O2904" s="6" t="s">
        <v>22</v>
      </c>
    </row>
    <row r="2905" spans="1:15">
      <c r="A2905" s="6" t="s">
        <v>15</v>
      </c>
      <c r="B2905" s="6" t="str">
        <f>"FES1162691335"</f>
        <v>FES1162691335</v>
      </c>
      <c r="C2905" s="7">
        <v>43607</v>
      </c>
      <c r="D2905" s="6">
        <v>1</v>
      </c>
      <c r="E2905" s="6">
        <v>2170680122</v>
      </c>
      <c r="F2905" s="6" t="s">
        <v>16</v>
      </c>
      <c r="G2905" s="6" t="s">
        <v>17</v>
      </c>
      <c r="H2905" s="6" t="s">
        <v>17</v>
      </c>
      <c r="I2905" s="6" t="s">
        <v>103</v>
      </c>
      <c r="J2905" s="6" t="s">
        <v>3555</v>
      </c>
      <c r="K2905" s="7">
        <v>43608</v>
      </c>
      <c r="L2905" s="8">
        <v>0.4375</v>
      </c>
      <c r="M2905" s="6" t="s">
        <v>3931</v>
      </c>
      <c r="N2905" s="14" t="s">
        <v>21</v>
      </c>
      <c r="O2905" s="6" t="s">
        <v>22</v>
      </c>
    </row>
    <row r="2906" spans="1:15" hidden="1">
      <c r="A2906" s="6" t="s">
        <v>15</v>
      </c>
      <c r="B2906" s="6" t="str">
        <f>"FES1162691160"</f>
        <v>FES1162691160</v>
      </c>
      <c r="C2906" s="7">
        <v>43607</v>
      </c>
      <c r="D2906" s="6">
        <v>1</v>
      </c>
      <c r="E2906" s="6">
        <v>2170689065</v>
      </c>
      <c r="F2906" s="6" t="s">
        <v>16</v>
      </c>
      <c r="G2906" s="6" t="s">
        <v>17</v>
      </c>
      <c r="H2906" s="6" t="s">
        <v>43</v>
      </c>
      <c r="I2906" s="6" t="s">
        <v>44</v>
      </c>
      <c r="J2906" s="6" t="s">
        <v>591</v>
      </c>
      <c r="K2906" s="7">
        <v>43608</v>
      </c>
      <c r="L2906" s="8">
        <v>0.32361111111111113</v>
      </c>
      <c r="M2906" s="6" t="s">
        <v>3545</v>
      </c>
      <c r="N2906" s="14" t="s">
        <v>21</v>
      </c>
      <c r="O2906" s="6" t="s">
        <v>22</v>
      </c>
    </row>
    <row r="2907" spans="1:15">
      <c r="A2907" s="6" t="s">
        <v>15</v>
      </c>
      <c r="B2907" s="6" t="str">
        <f>"FES1162691301"</f>
        <v>FES1162691301</v>
      </c>
      <c r="C2907" s="7">
        <v>43607</v>
      </c>
      <c r="D2907" s="6">
        <v>1</v>
      </c>
      <c r="E2907" s="6">
        <v>2170689682</v>
      </c>
      <c r="F2907" s="6" t="s">
        <v>16</v>
      </c>
      <c r="G2907" s="6" t="s">
        <v>17</v>
      </c>
      <c r="H2907" s="6" t="s">
        <v>17</v>
      </c>
      <c r="I2907" s="6" t="s">
        <v>103</v>
      </c>
      <c r="J2907" s="6" t="s">
        <v>108</v>
      </c>
      <c r="K2907" s="7">
        <v>43608</v>
      </c>
      <c r="L2907" s="8">
        <v>0.32361111111111113</v>
      </c>
      <c r="M2907" s="6" t="s">
        <v>3932</v>
      </c>
      <c r="N2907" s="14" t="s">
        <v>21</v>
      </c>
      <c r="O2907" s="6" t="s">
        <v>22</v>
      </c>
    </row>
    <row r="2908" spans="1:15">
      <c r="A2908" s="6" t="s">
        <v>15</v>
      </c>
      <c r="B2908" s="6" t="str">
        <f>"FES1162691116"</f>
        <v>FES1162691116</v>
      </c>
      <c r="C2908" s="7">
        <v>43607</v>
      </c>
      <c r="D2908" s="6">
        <v>1</v>
      </c>
      <c r="E2908" s="6">
        <v>2170685708</v>
      </c>
      <c r="F2908" s="6" t="s">
        <v>16</v>
      </c>
      <c r="G2908" s="6" t="s">
        <v>17</v>
      </c>
      <c r="H2908" s="6" t="s">
        <v>17</v>
      </c>
      <c r="I2908" s="6" t="s">
        <v>1376</v>
      </c>
      <c r="J2908" s="6" t="s">
        <v>3933</v>
      </c>
      <c r="K2908" s="7">
        <v>43608</v>
      </c>
      <c r="L2908" s="8">
        <v>0.33333333333333331</v>
      </c>
      <c r="M2908" s="6" t="s">
        <v>3934</v>
      </c>
      <c r="N2908" s="14" t="s">
        <v>21</v>
      </c>
      <c r="O2908" s="6" t="s">
        <v>22</v>
      </c>
    </row>
    <row r="2909" spans="1:15">
      <c r="A2909" s="6" t="s">
        <v>15</v>
      </c>
      <c r="B2909" s="6" t="str">
        <f>"FES1162691289"</f>
        <v>FES1162691289</v>
      </c>
      <c r="C2909" s="7">
        <v>43607</v>
      </c>
      <c r="D2909" s="6">
        <v>1</v>
      </c>
      <c r="E2909" s="6">
        <v>2170689669</v>
      </c>
      <c r="F2909" s="6" t="s">
        <v>16</v>
      </c>
      <c r="G2909" s="6" t="s">
        <v>17</v>
      </c>
      <c r="H2909" s="6" t="s">
        <v>17</v>
      </c>
      <c r="I2909" s="6" t="s">
        <v>18</v>
      </c>
      <c r="J2909" s="6" t="s">
        <v>19</v>
      </c>
      <c r="K2909" s="7">
        <v>43608</v>
      </c>
      <c r="L2909" s="8">
        <v>0.41875000000000001</v>
      </c>
      <c r="M2909" s="6" t="s">
        <v>325</v>
      </c>
      <c r="N2909" s="14" t="s">
        <v>21</v>
      </c>
      <c r="O2909" s="6" t="s">
        <v>22</v>
      </c>
    </row>
    <row r="2910" spans="1:15" hidden="1">
      <c r="A2910" s="6" t="s">
        <v>15</v>
      </c>
      <c r="B2910" s="6" t="str">
        <f>"FES1162691179"</f>
        <v>FES1162691179</v>
      </c>
      <c r="C2910" s="7">
        <v>43607</v>
      </c>
      <c r="D2910" s="6">
        <v>1</v>
      </c>
      <c r="E2910" s="6">
        <v>2170689589</v>
      </c>
      <c r="F2910" s="6" t="s">
        <v>16</v>
      </c>
      <c r="G2910" s="6" t="s">
        <v>17</v>
      </c>
      <c r="H2910" s="6" t="s">
        <v>32</v>
      </c>
      <c r="I2910" s="6" t="s">
        <v>33</v>
      </c>
      <c r="J2910" s="6" t="s">
        <v>559</v>
      </c>
      <c r="K2910" s="7">
        <v>43608</v>
      </c>
      <c r="L2910" s="8">
        <v>0.3888888888888889</v>
      </c>
      <c r="M2910" s="6" t="s">
        <v>3935</v>
      </c>
      <c r="N2910" s="14" t="s">
        <v>21</v>
      </c>
      <c r="O2910" s="6" t="s">
        <v>22</v>
      </c>
    </row>
    <row r="2911" spans="1:15" hidden="1">
      <c r="A2911" s="6" t="s">
        <v>15</v>
      </c>
      <c r="B2911" s="6" t="str">
        <f>"FES1162691290"</f>
        <v>FES1162691290</v>
      </c>
      <c r="C2911" s="7">
        <v>43607</v>
      </c>
      <c r="D2911" s="6">
        <v>1</v>
      </c>
      <c r="E2911" s="6">
        <v>2170689670</v>
      </c>
      <c r="F2911" s="6" t="s">
        <v>16</v>
      </c>
      <c r="G2911" s="6" t="s">
        <v>17</v>
      </c>
      <c r="H2911" s="6" t="s">
        <v>32</v>
      </c>
      <c r="I2911" s="6" t="s">
        <v>33</v>
      </c>
      <c r="J2911" s="6" t="s">
        <v>3223</v>
      </c>
      <c r="K2911" s="7">
        <v>43608</v>
      </c>
      <c r="L2911" s="8">
        <v>0.3611111111111111</v>
      </c>
      <c r="M2911" s="6" t="s">
        <v>3656</v>
      </c>
      <c r="N2911" s="14" t="s">
        <v>21</v>
      </c>
      <c r="O2911" s="6" t="s">
        <v>22</v>
      </c>
    </row>
    <row r="2912" spans="1:15" hidden="1">
      <c r="A2912" s="6" t="s">
        <v>15</v>
      </c>
      <c r="B2912" s="6" t="str">
        <f>"FES1162691276"</f>
        <v>FES1162691276</v>
      </c>
      <c r="C2912" s="7">
        <v>43607</v>
      </c>
      <c r="D2912" s="6">
        <v>1</v>
      </c>
      <c r="E2912" s="6">
        <v>2170689653</v>
      </c>
      <c r="F2912" s="6" t="s">
        <v>16</v>
      </c>
      <c r="G2912" s="6" t="s">
        <v>17</v>
      </c>
      <c r="H2912" s="6" t="s">
        <v>32</v>
      </c>
      <c r="I2912" s="6" t="s">
        <v>33</v>
      </c>
      <c r="J2912" s="6" t="s">
        <v>790</v>
      </c>
      <c r="K2912" s="7">
        <v>43608</v>
      </c>
      <c r="L2912" s="8">
        <v>0.40277777777777773</v>
      </c>
      <c r="M2912" s="6" t="s">
        <v>791</v>
      </c>
      <c r="N2912" s="14" t="s">
        <v>21</v>
      </c>
      <c r="O2912" s="6" t="s">
        <v>22</v>
      </c>
    </row>
    <row r="2913" spans="1:15" hidden="1">
      <c r="A2913" s="6" t="s">
        <v>15</v>
      </c>
      <c r="B2913" s="6" t="str">
        <f>"FES1162691292"</f>
        <v>FES1162691292</v>
      </c>
      <c r="C2913" s="7">
        <v>43607</v>
      </c>
      <c r="D2913" s="6">
        <v>1</v>
      </c>
      <c r="E2913" s="6">
        <v>2170689672</v>
      </c>
      <c r="F2913" s="6" t="s">
        <v>16</v>
      </c>
      <c r="G2913" s="6" t="s">
        <v>17</v>
      </c>
      <c r="H2913" s="6" t="s">
        <v>32</v>
      </c>
      <c r="I2913" s="6" t="s">
        <v>33</v>
      </c>
      <c r="J2913" s="6" t="s">
        <v>3223</v>
      </c>
      <c r="K2913" s="7">
        <v>43608</v>
      </c>
      <c r="L2913" s="8">
        <v>0.3611111111111111</v>
      </c>
      <c r="M2913" s="6" t="s">
        <v>3656</v>
      </c>
      <c r="N2913" s="14" t="s">
        <v>21</v>
      </c>
      <c r="O2913" s="6" t="s">
        <v>22</v>
      </c>
    </row>
    <row r="2914" spans="1:15" hidden="1">
      <c r="A2914" s="6" t="s">
        <v>15</v>
      </c>
      <c r="B2914" s="6" t="str">
        <f>"FES1162691245"</f>
        <v>FES1162691245</v>
      </c>
      <c r="C2914" s="7">
        <v>43607</v>
      </c>
      <c r="D2914" s="6">
        <v>1</v>
      </c>
      <c r="E2914" s="6">
        <v>2170689615</v>
      </c>
      <c r="F2914" s="6" t="s">
        <v>16</v>
      </c>
      <c r="G2914" s="6" t="s">
        <v>17</v>
      </c>
      <c r="H2914" s="6" t="s">
        <v>43</v>
      </c>
      <c r="I2914" s="6" t="s">
        <v>44</v>
      </c>
      <c r="J2914" s="6" t="s">
        <v>179</v>
      </c>
      <c r="K2914" s="7">
        <v>43608</v>
      </c>
      <c r="L2914" s="8">
        <v>0.4152777777777778</v>
      </c>
      <c r="M2914" s="6" t="s">
        <v>3936</v>
      </c>
      <c r="N2914" s="14" t="s">
        <v>21</v>
      </c>
      <c r="O2914" s="6" t="s">
        <v>22</v>
      </c>
    </row>
    <row r="2915" spans="1:15" hidden="1">
      <c r="A2915" s="6" t="s">
        <v>15</v>
      </c>
      <c r="B2915" s="6" t="str">
        <f>"FES1162691248"</f>
        <v>FES1162691248</v>
      </c>
      <c r="C2915" s="7">
        <v>43607</v>
      </c>
      <c r="D2915" s="6">
        <v>1</v>
      </c>
      <c r="E2915" s="6">
        <v>2170689624</v>
      </c>
      <c r="F2915" s="6" t="s">
        <v>16</v>
      </c>
      <c r="G2915" s="6" t="s">
        <v>17</v>
      </c>
      <c r="H2915" s="6" t="s">
        <v>141</v>
      </c>
      <c r="I2915" s="6" t="s">
        <v>142</v>
      </c>
      <c r="J2915" s="6" t="s">
        <v>3937</v>
      </c>
      <c r="K2915" s="7">
        <v>43608</v>
      </c>
      <c r="L2915" s="8">
        <v>0.3972222222222222</v>
      </c>
      <c r="M2915" s="6" t="s">
        <v>3938</v>
      </c>
      <c r="N2915" s="14" t="s">
        <v>21</v>
      </c>
      <c r="O2915" s="6" t="s">
        <v>22</v>
      </c>
    </row>
    <row r="2916" spans="1:15" hidden="1">
      <c r="A2916" s="6" t="s">
        <v>15</v>
      </c>
      <c r="B2916" s="6" t="str">
        <f>"FES1162691341"</f>
        <v>FES1162691341</v>
      </c>
      <c r="C2916" s="7">
        <v>43607</v>
      </c>
      <c r="D2916" s="6">
        <v>1</v>
      </c>
      <c r="E2916" s="6">
        <v>2170689729</v>
      </c>
      <c r="F2916" s="6" t="s">
        <v>16</v>
      </c>
      <c r="G2916" s="6" t="s">
        <v>17</v>
      </c>
      <c r="H2916" s="6" t="s">
        <v>141</v>
      </c>
      <c r="I2916" s="6" t="s">
        <v>142</v>
      </c>
      <c r="J2916" s="6" t="s">
        <v>2232</v>
      </c>
      <c r="K2916" s="7">
        <v>43608</v>
      </c>
      <c r="L2916" s="8">
        <v>0.39027777777777778</v>
      </c>
      <c r="M2916" s="6" t="s">
        <v>3939</v>
      </c>
      <c r="N2916" s="14" t="s">
        <v>21</v>
      </c>
      <c r="O2916" s="6" t="s">
        <v>22</v>
      </c>
    </row>
    <row r="2917" spans="1:15" hidden="1">
      <c r="A2917" s="6" t="s">
        <v>15</v>
      </c>
      <c r="B2917" s="6" t="str">
        <f>"FES1162691136"</f>
        <v>FES1162691136</v>
      </c>
      <c r="C2917" s="7">
        <v>43607</v>
      </c>
      <c r="D2917" s="6">
        <v>1</v>
      </c>
      <c r="E2917" s="6">
        <v>2170688675</v>
      </c>
      <c r="F2917" s="6" t="s">
        <v>16</v>
      </c>
      <c r="G2917" s="6" t="s">
        <v>17</v>
      </c>
      <c r="H2917" s="6" t="s">
        <v>32</v>
      </c>
      <c r="I2917" s="6" t="s">
        <v>33</v>
      </c>
      <c r="J2917" s="6" t="s">
        <v>2917</v>
      </c>
      <c r="K2917" s="7">
        <v>43608</v>
      </c>
      <c r="L2917" s="8">
        <v>0.34027777777777773</v>
      </c>
      <c r="M2917" s="6" t="s">
        <v>2918</v>
      </c>
      <c r="N2917" s="14" t="s">
        <v>21</v>
      </c>
      <c r="O2917" s="6" t="s">
        <v>22</v>
      </c>
    </row>
    <row r="2918" spans="1:15" hidden="1">
      <c r="A2918" s="6" t="s">
        <v>15</v>
      </c>
      <c r="B2918" s="6" t="str">
        <f>"FES1162691340"</f>
        <v>FES1162691340</v>
      </c>
      <c r="C2918" s="7">
        <v>43607</v>
      </c>
      <c r="D2918" s="6">
        <v>1</v>
      </c>
      <c r="E2918" s="6">
        <v>2170689727</v>
      </c>
      <c r="F2918" s="6" t="s">
        <v>16</v>
      </c>
      <c r="G2918" s="6" t="s">
        <v>17</v>
      </c>
      <c r="H2918" s="6" t="s">
        <v>141</v>
      </c>
      <c r="I2918" s="6" t="s">
        <v>448</v>
      </c>
      <c r="J2918" s="6" t="s">
        <v>979</v>
      </c>
      <c r="K2918" s="7">
        <v>43608</v>
      </c>
      <c r="L2918" s="8">
        <v>0.37847222222222227</v>
      </c>
      <c r="M2918" s="6" t="s">
        <v>2395</v>
      </c>
      <c r="N2918" s="14" t="s">
        <v>21</v>
      </c>
      <c r="O2918" s="6" t="s">
        <v>22</v>
      </c>
    </row>
    <row r="2919" spans="1:15" hidden="1">
      <c r="A2919" s="6" t="s">
        <v>15</v>
      </c>
      <c r="B2919" s="6" t="str">
        <f>"FES1162691256"</f>
        <v>FES1162691256</v>
      </c>
      <c r="C2919" s="7">
        <v>43607</v>
      </c>
      <c r="D2919" s="6">
        <v>1</v>
      </c>
      <c r="E2919" s="6">
        <v>2170689632</v>
      </c>
      <c r="F2919" s="6" t="s">
        <v>16</v>
      </c>
      <c r="G2919" s="6" t="s">
        <v>17</v>
      </c>
      <c r="H2919" s="6" t="s">
        <v>141</v>
      </c>
      <c r="I2919" s="6" t="s">
        <v>142</v>
      </c>
      <c r="J2919" s="6" t="s">
        <v>3937</v>
      </c>
      <c r="K2919" s="7">
        <v>43608</v>
      </c>
      <c r="L2919" s="8">
        <v>0.39652777777777781</v>
      </c>
      <c r="M2919" s="6" t="s">
        <v>3940</v>
      </c>
      <c r="N2919" s="14" t="s">
        <v>21</v>
      </c>
      <c r="O2919" s="6" t="s">
        <v>22</v>
      </c>
    </row>
    <row r="2920" spans="1:15" hidden="1">
      <c r="A2920" s="6" t="s">
        <v>15</v>
      </c>
      <c r="B2920" s="6" t="str">
        <f>"FES1162691345"</f>
        <v>FES1162691345</v>
      </c>
      <c r="C2920" s="7">
        <v>43607</v>
      </c>
      <c r="D2920" s="6">
        <v>1</v>
      </c>
      <c r="E2920" s="6">
        <v>2170689732</v>
      </c>
      <c r="F2920" s="6" t="s">
        <v>16</v>
      </c>
      <c r="G2920" s="6" t="s">
        <v>17</v>
      </c>
      <c r="H2920" s="6" t="s">
        <v>141</v>
      </c>
      <c r="I2920" s="6" t="s">
        <v>142</v>
      </c>
      <c r="J2920" s="6" t="s">
        <v>213</v>
      </c>
      <c r="K2920" s="7">
        <v>43608</v>
      </c>
      <c r="L2920" s="8">
        <v>0.38055555555555554</v>
      </c>
      <c r="M2920" s="6" t="s">
        <v>214</v>
      </c>
      <c r="N2920" s="14" t="s">
        <v>21</v>
      </c>
      <c r="O2920" s="6" t="s">
        <v>22</v>
      </c>
    </row>
    <row r="2921" spans="1:15" hidden="1">
      <c r="A2921" s="6" t="s">
        <v>15</v>
      </c>
      <c r="B2921" s="6" t="str">
        <f>"FES1162691243"</f>
        <v>FES1162691243</v>
      </c>
      <c r="C2921" s="7">
        <v>43607</v>
      </c>
      <c r="D2921" s="6">
        <v>1</v>
      </c>
      <c r="E2921" s="6">
        <v>2170689613</v>
      </c>
      <c r="F2921" s="6" t="s">
        <v>16</v>
      </c>
      <c r="G2921" s="6" t="s">
        <v>17</v>
      </c>
      <c r="H2921" s="6" t="s">
        <v>141</v>
      </c>
      <c r="I2921" s="6" t="s">
        <v>142</v>
      </c>
      <c r="J2921" s="6" t="s">
        <v>213</v>
      </c>
      <c r="K2921" s="7">
        <v>43608</v>
      </c>
      <c r="L2921" s="8">
        <v>0.38055555555555554</v>
      </c>
      <c r="M2921" s="6" t="s">
        <v>214</v>
      </c>
      <c r="N2921" s="14" t="s">
        <v>21</v>
      </c>
      <c r="O2921" s="6" t="s">
        <v>22</v>
      </c>
    </row>
    <row r="2922" spans="1:15" hidden="1">
      <c r="A2922" s="6" t="s">
        <v>15</v>
      </c>
      <c r="B2922" s="6" t="str">
        <f>"FES1162691314"</f>
        <v>FES1162691314</v>
      </c>
      <c r="C2922" s="7">
        <v>43607</v>
      </c>
      <c r="D2922" s="6">
        <v>1</v>
      </c>
      <c r="E2922" s="6">
        <v>2170689702</v>
      </c>
      <c r="F2922" s="6" t="s">
        <v>16</v>
      </c>
      <c r="G2922" s="6" t="s">
        <v>17</v>
      </c>
      <c r="H2922" s="6" t="s">
        <v>290</v>
      </c>
      <c r="I2922" s="6" t="s">
        <v>291</v>
      </c>
      <c r="J2922" s="6" t="s">
        <v>1744</v>
      </c>
      <c r="K2922" s="7">
        <v>43608</v>
      </c>
      <c r="L2922" s="8">
        <v>0.375</v>
      </c>
      <c r="M2922" s="6" t="s">
        <v>1745</v>
      </c>
      <c r="N2922" s="14" t="s">
        <v>21</v>
      </c>
      <c r="O2922" s="6" t="s">
        <v>22</v>
      </c>
    </row>
    <row r="2923" spans="1:15">
      <c r="A2923" s="6" t="s">
        <v>15</v>
      </c>
      <c r="B2923" s="6" t="str">
        <f>"FES1162691325"</f>
        <v>FES1162691325</v>
      </c>
      <c r="C2923" s="7">
        <v>43607</v>
      </c>
      <c r="D2923" s="6">
        <v>1</v>
      </c>
      <c r="E2923" s="6">
        <v>2170686643</v>
      </c>
      <c r="F2923" s="6" t="s">
        <v>16</v>
      </c>
      <c r="G2923" s="6" t="s">
        <v>17</v>
      </c>
      <c r="H2923" s="6" t="s">
        <v>17</v>
      </c>
      <c r="I2923" s="6" t="s">
        <v>18</v>
      </c>
      <c r="J2923" s="6" t="s">
        <v>1368</v>
      </c>
      <c r="K2923" s="7">
        <v>43608</v>
      </c>
      <c r="L2923" s="8">
        <v>0.35069444444444442</v>
      </c>
      <c r="M2923" s="6" t="s">
        <v>2054</v>
      </c>
      <c r="N2923" s="14" t="s">
        <v>21</v>
      </c>
      <c r="O2923" s="6" t="s">
        <v>22</v>
      </c>
    </row>
    <row r="2924" spans="1:15">
      <c r="A2924" s="6" t="s">
        <v>15</v>
      </c>
      <c r="B2924" s="6" t="str">
        <f>"FES1162691303"</f>
        <v>FES1162691303</v>
      </c>
      <c r="C2924" s="7">
        <v>43607</v>
      </c>
      <c r="D2924" s="6">
        <v>1</v>
      </c>
      <c r="E2924" s="6">
        <v>21706879685</v>
      </c>
      <c r="F2924" s="6" t="s">
        <v>16</v>
      </c>
      <c r="G2924" s="6" t="s">
        <v>17</v>
      </c>
      <c r="H2924" s="6" t="s">
        <v>17</v>
      </c>
      <c r="I2924" s="6" t="s">
        <v>29</v>
      </c>
      <c r="J2924" s="6" t="s">
        <v>616</v>
      </c>
      <c r="K2924" s="7">
        <v>43608</v>
      </c>
      <c r="L2924" s="8">
        <v>0.41250000000000003</v>
      </c>
      <c r="M2924" s="6" t="s">
        <v>616</v>
      </c>
      <c r="N2924" s="14" t="s">
        <v>21</v>
      </c>
      <c r="O2924" s="6" t="s">
        <v>22</v>
      </c>
    </row>
    <row r="2925" spans="1:15">
      <c r="A2925" s="6" t="s">
        <v>15</v>
      </c>
      <c r="B2925" s="6" t="str">
        <f>"FES1162691310"</f>
        <v>FES1162691310</v>
      </c>
      <c r="C2925" s="7">
        <v>43607</v>
      </c>
      <c r="D2925" s="6">
        <v>1</v>
      </c>
      <c r="E2925" s="6">
        <v>2170689689</v>
      </c>
      <c r="F2925" s="6" t="s">
        <v>16</v>
      </c>
      <c r="G2925" s="6" t="s">
        <v>17</v>
      </c>
      <c r="H2925" s="6" t="s">
        <v>17</v>
      </c>
      <c r="I2925" s="6" t="s">
        <v>720</v>
      </c>
      <c r="J2925" s="6" t="s">
        <v>721</v>
      </c>
      <c r="K2925" s="7">
        <v>43608</v>
      </c>
      <c r="L2925" s="8">
        <v>0.37222222222222223</v>
      </c>
      <c r="M2925" s="6" t="s">
        <v>3941</v>
      </c>
      <c r="N2925" s="14" t="s">
        <v>21</v>
      </c>
      <c r="O2925" s="6" t="s">
        <v>22</v>
      </c>
    </row>
    <row r="2926" spans="1:15">
      <c r="A2926" s="6" t="s">
        <v>15</v>
      </c>
      <c r="B2926" s="6" t="str">
        <f>"FES1162691140"</f>
        <v>FES1162691140</v>
      </c>
      <c r="C2926" s="7">
        <v>43607</v>
      </c>
      <c r="D2926" s="6">
        <v>1</v>
      </c>
      <c r="E2926" s="6">
        <v>2170689180</v>
      </c>
      <c r="F2926" s="6" t="s">
        <v>1433</v>
      </c>
      <c r="G2926" s="6" t="s">
        <v>17</v>
      </c>
      <c r="H2926" s="6" t="s">
        <v>17</v>
      </c>
      <c r="I2926" s="6" t="s">
        <v>1376</v>
      </c>
      <c r="J2926" s="6" t="s">
        <v>3468</v>
      </c>
      <c r="K2926" s="7">
        <v>43608</v>
      </c>
      <c r="L2926" s="8">
        <v>0.33333333333333331</v>
      </c>
      <c r="M2926" s="6" t="s">
        <v>3942</v>
      </c>
      <c r="N2926" s="14" t="s">
        <v>21</v>
      </c>
      <c r="O2926" s="6" t="s">
        <v>494</v>
      </c>
    </row>
    <row r="2927" spans="1:15" hidden="1">
      <c r="A2927" s="6" t="s">
        <v>15</v>
      </c>
      <c r="B2927" s="6" t="str">
        <f>"FES1162691156"</f>
        <v>FES1162691156</v>
      </c>
      <c r="C2927" s="7">
        <v>43607</v>
      </c>
      <c r="D2927" s="6">
        <v>1</v>
      </c>
      <c r="E2927" s="6">
        <v>2170689562</v>
      </c>
      <c r="F2927" s="6" t="s">
        <v>16</v>
      </c>
      <c r="G2927" s="6" t="s">
        <v>17</v>
      </c>
      <c r="H2927" s="6" t="s">
        <v>43</v>
      </c>
      <c r="I2927" s="6" t="s">
        <v>44</v>
      </c>
      <c r="J2927" s="6" t="s">
        <v>938</v>
      </c>
      <c r="K2927" s="7">
        <v>43608</v>
      </c>
      <c r="L2927" s="8">
        <v>0.34166666666666662</v>
      </c>
      <c r="M2927" s="6" t="s">
        <v>939</v>
      </c>
      <c r="N2927" s="14" t="s">
        <v>21</v>
      </c>
      <c r="O2927" s="6" t="s">
        <v>22</v>
      </c>
    </row>
    <row r="2928" spans="1:15" hidden="1">
      <c r="A2928" s="6" t="s">
        <v>15</v>
      </c>
      <c r="B2928" s="6" t="str">
        <f>"FES1162691235"</f>
        <v>FES1162691235</v>
      </c>
      <c r="C2928" s="7">
        <v>43607</v>
      </c>
      <c r="D2928" s="6">
        <v>1</v>
      </c>
      <c r="E2928" s="6">
        <v>2170687844</v>
      </c>
      <c r="F2928" s="6" t="s">
        <v>16</v>
      </c>
      <c r="G2928" s="6" t="s">
        <v>17</v>
      </c>
      <c r="H2928" s="6" t="s">
        <v>132</v>
      </c>
      <c r="I2928" s="6" t="s">
        <v>133</v>
      </c>
      <c r="J2928" s="6" t="s">
        <v>2251</v>
      </c>
      <c r="K2928" s="7">
        <v>43608</v>
      </c>
      <c r="L2928" s="8">
        <v>0.40347222222222223</v>
      </c>
      <c r="M2928" s="6" t="s">
        <v>3943</v>
      </c>
      <c r="N2928" s="14" t="s">
        <v>21</v>
      </c>
      <c r="O2928" s="6" t="s">
        <v>22</v>
      </c>
    </row>
    <row r="2929" spans="1:15" hidden="1">
      <c r="A2929" s="6" t="s">
        <v>15</v>
      </c>
      <c r="B2929" s="6" t="str">
        <f>"FES1162691226"</f>
        <v>FES1162691226</v>
      </c>
      <c r="C2929" s="7">
        <v>43607</v>
      </c>
      <c r="D2929" s="6">
        <v>1</v>
      </c>
      <c r="E2929" s="6">
        <v>2170687592</v>
      </c>
      <c r="F2929" s="6" t="s">
        <v>16</v>
      </c>
      <c r="G2929" s="6" t="s">
        <v>17</v>
      </c>
      <c r="H2929" s="6" t="s">
        <v>141</v>
      </c>
      <c r="I2929" s="6" t="s">
        <v>185</v>
      </c>
      <c r="J2929" s="6" t="s">
        <v>1543</v>
      </c>
      <c r="K2929" s="7">
        <v>43608</v>
      </c>
      <c r="L2929" s="8">
        <v>0.42986111111111108</v>
      </c>
      <c r="M2929" s="6" t="s">
        <v>1544</v>
      </c>
      <c r="N2929" s="14" t="s">
        <v>21</v>
      </c>
      <c r="O2929" s="6" t="s">
        <v>22</v>
      </c>
    </row>
    <row r="2930" spans="1:15" hidden="1">
      <c r="A2930" s="6" t="s">
        <v>15</v>
      </c>
      <c r="B2930" s="6" t="str">
        <f>"FES1162691338"</f>
        <v>FES1162691338</v>
      </c>
      <c r="C2930" s="7">
        <v>43607</v>
      </c>
      <c r="D2930" s="6">
        <v>1</v>
      </c>
      <c r="E2930" s="6">
        <v>2170689725</v>
      </c>
      <c r="F2930" s="6" t="s">
        <v>16</v>
      </c>
      <c r="G2930" s="6" t="s">
        <v>17</v>
      </c>
      <c r="H2930" s="6" t="s">
        <v>32</v>
      </c>
      <c r="I2930" s="6" t="s">
        <v>33</v>
      </c>
      <c r="J2930" s="6" t="s">
        <v>365</v>
      </c>
      <c r="K2930" s="7">
        <v>43608</v>
      </c>
      <c r="L2930" s="8">
        <v>0.37847222222222227</v>
      </c>
      <c r="M2930" s="6" t="s">
        <v>3574</v>
      </c>
      <c r="N2930" s="14" t="s">
        <v>21</v>
      </c>
      <c r="O2930" s="6" t="s">
        <v>22</v>
      </c>
    </row>
    <row r="2931" spans="1:15" hidden="1">
      <c r="A2931" s="6" t="s">
        <v>15</v>
      </c>
      <c r="B2931" s="6" t="str">
        <f>"FES1162691230"</f>
        <v>FES1162691230</v>
      </c>
      <c r="C2931" s="7">
        <v>43607</v>
      </c>
      <c r="D2931" s="6">
        <v>1</v>
      </c>
      <c r="E2931" s="6">
        <v>21706876666</v>
      </c>
      <c r="F2931" s="6" t="s">
        <v>16</v>
      </c>
      <c r="G2931" s="6" t="s">
        <v>17</v>
      </c>
      <c r="H2931" s="6" t="s">
        <v>132</v>
      </c>
      <c r="I2931" s="6" t="s">
        <v>133</v>
      </c>
      <c r="J2931" s="6" t="s">
        <v>639</v>
      </c>
      <c r="K2931" s="7">
        <v>43608</v>
      </c>
      <c r="L2931" s="8">
        <v>0.36944444444444446</v>
      </c>
      <c r="M2931" s="6" t="s">
        <v>1931</v>
      </c>
      <c r="N2931" s="14" t="s">
        <v>21</v>
      </c>
      <c r="O2931" s="6" t="s">
        <v>22</v>
      </c>
    </row>
    <row r="2932" spans="1:15" hidden="1">
      <c r="A2932" s="6" t="s">
        <v>15</v>
      </c>
      <c r="B2932" s="6" t="str">
        <f>"FES1162691339"</f>
        <v>FES1162691339</v>
      </c>
      <c r="C2932" s="7">
        <v>43607</v>
      </c>
      <c r="D2932" s="6">
        <v>1</v>
      </c>
      <c r="E2932" s="6">
        <v>2170689726</v>
      </c>
      <c r="F2932" s="6" t="s">
        <v>16</v>
      </c>
      <c r="G2932" s="6" t="s">
        <v>17</v>
      </c>
      <c r="H2932" s="6" t="s">
        <v>32</v>
      </c>
      <c r="I2932" s="6" t="s">
        <v>33</v>
      </c>
      <c r="J2932" s="6" t="s">
        <v>34</v>
      </c>
      <c r="K2932" s="7">
        <v>43608</v>
      </c>
      <c r="L2932" s="8">
        <v>0.34375</v>
      </c>
      <c r="M2932" s="6" t="s">
        <v>3880</v>
      </c>
      <c r="N2932" s="14" t="s">
        <v>21</v>
      </c>
      <c r="O2932" s="6" t="s">
        <v>22</v>
      </c>
    </row>
    <row r="2933" spans="1:15" hidden="1">
      <c r="A2933" s="6" t="s">
        <v>15</v>
      </c>
      <c r="B2933" s="6" t="str">
        <f>"FES1162691238"</f>
        <v>FES1162691238</v>
      </c>
      <c r="C2933" s="7">
        <v>43607</v>
      </c>
      <c r="D2933" s="6">
        <v>1</v>
      </c>
      <c r="E2933" s="6">
        <v>2170688598</v>
      </c>
      <c r="F2933" s="6" t="s">
        <v>16</v>
      </c>
      <c r="G2933" s="6" t="s">
        <v>17</v>
      </c>
      <c r="H2933" s="6" t="s">
        <v>141</v>
      </c>
      <c r="I2933" s="6" t="s">
        <v>142</v>
      </c>
      <c r="J2933" s="6" t="s">
        <v>3937</v>
      </c>
      <c r="K2933" s="7">
        <v>43608</v>
      </c>
      <c r="L2933" s="8">
        <v>0.3979166666666667</v>
      </c>
      <c r="M2933" s="6" t="s">
        <v>3938</v>
      </c>
      <c r="N2933" s="14" t="s">
        <v>21</v>
      </c>
      <c r="O2933" s="6" t="s">
        <v>22</v>
      </c>
    </row>
    <row r="2934" spans="1:15">
      <c r="A2934" s="6" t="s">
        <v>15</v>
      </c>
      <c r="B2934" s="6" t="str">
        <f>"FES1162691279"</f>
        <v>FES1162691279</v>
      </c>
      <c r="C2934" s="7">
        <v>43607</v>
      </c>
      <c r="D2934" s="6">
        <v>1</v>
      </c>
      <c r="E2934" s="6">
        <v>2170689657</v>
      </c>
      <c r="F2934" s="6" t="s">
        <v>16</v>
      </c>
      <c r="G2934" s="6" t="s">
        <v>17</v>
      </c>
      <c r="H2934" s="6" t="s">
        <v>17</v>
      </c>
      <c r="I2934" s="6" t="s">
        <v>23</v>
      </c>
      <c r="J2934" s="6" t="s">
        <v>3944</v>
      </c>
      <c r="K2934" s="7">
        <v>43608</v>
      </c>
      <c r="L2934" s="8">
        <v>0.31527777777777777</v>
      </c>
      <c r="M2934" s="6" t="s">
        <v>3945</v>
      </c>
      <c r="N2934" s="14" t="s">
        <v>21</v>
      </c>
      <c r="O2934" s="6" t="s">
        <v>22</v>
      </c>
    </row>
    <row r="2935" spans="1:15" hidden="1">
      <c r="A2935" s="6" t="s">
        <v>15</v>
      </c>
      <c r="B2935" s="6" t="str">
        <f>"FES1162691117"</f>
        <v>FES1162691117</v>
      </c>
      <c r="C2935" s="7">
        <v>43607</v>
      </c>
      <c r="D2935" s="6">
        <v>1</v>
      </c>
      <c r="E2935" s="6">
        <v>2170686363</v>
      </c>
      <c r="F2935" s="6" t="s">
        <v>16</v>
      </c>
      <c r="G2935" s="6" t="s">
        <v>17</v>
      </c>
      <c r="H2935" s="6" t="s">
        <v>43</v>
      </c>
      <c r="I2935" s="6" t="s">
        <v>44</v>
      </c>
      <c r="J2935" s="6" t="s">
        <v>393</v>
      </c>
      <c r="K2935" s="7">
        <v>43608</v>
      </c>
      <c r="L2935" s="8">
        <v>0.33888888888888885</v>
      </c>
      <c r="M2935" s="6" t="s">
        <v>394</v>
      </c>
      <c r="N2935" s="14" t="s">
        <v>21</v>
      </c>
      <c r="O2935" s="6" t="s">
        <v>22</v>
      </c>
    </row>
    <row r="2936" spans="1:15">
      <c r="A2936" s="6" t="s">
        <v>15</v>
      </c>
      <c r="B2936" s="6" t="str">
        <f>"FES1162691232"</f>
        <v>FES1162691232</v>
      </c>
      <c r="C2936" s="7">
        <v>43607</v>
      </c>
      <c r="D2936" s="6">
        <v>1</v>
      </c>
      <c r="E2936" s="6">
        <v>2170687714</v>
      </c>
      <c r="F2936" s="6" t="s">
        <v>16</v>
      </c>
      <c r="G2936" s="6" t="s">
        <v>17</v>
      </c>
      <c r="H2936" s="6" t="s">
        <v>17</v>
      </c>
      <c r="I2936" s="6" t="s">
        <v>64</v>
      </c>
      <c r="J2936" s="6" t="s">
        <v>553</v>
      </c>
      <c r="K2936" s="7">
        <v>43608</v>
      </c>
      <c r="L2936" s="8">
        <v>0.33888888888888885</v>
      </c>
      <c r="M2936" s="6" t="s">
        <v>3946</v>
      </c>
      <c r="N2936" s="14" t="s">
        <v>21</v>
      </c>
      <c r="O2936" s="6" t="s">
        <v>22</v>
      </c>
    </row>
    <row r="2937" spans="1:15" hidden="1">
      <c r="A2937" s="6" t="s">
        <v>15</v>
      </c>
      <c r="B2937" s="6" t="str">
        <f>"FES1162691305"</f>
        <v>FES1162691305</v>
      </c>
      <c r="C2937" s="7">
        <v>43607</v>
      </c>
      <c r="D2937" s="6">
        <v>1</v>
      </c>
      <c r="E2937" s="6">
        <v>2170689690</v>
      </c>
      <c r="F2937" s="6" t="s">
        <v>58</v>
      </c>
      <c r="G2937" s="6" t="s">
        <v>59</v>
      </c>
      <c r="H2937" s="6" t="s">
        <v>43</v>
      </c>
      <c r="I2937" s="6" t="s">
        <v>738</v>
      </c>
      <c r="J2937" s="6" t="s">
        <v>942</v>
      </c>
      <c r="K2937" s="7">
        <v>43609</v>
      </c>
      <c r="L2937" s="8">
        <v>0.41666666666666669</v>
      </c>
      <c r="M2937" s="6" t="s">
        <v>3947</v>
      </c>
      <c r="N2937" s="6" t="s">
        <v>21</v>
      </c>
      <c r="O2937" s="6" t="s">
        <v>494</v>
      </c>
    </row>
    <row r="2938" spans="1:15" hidden="1">
      <c r="A2938" s="6" t="s">
        <v>15</v>
      </c>
      <c r="B2938" s="6" t="str">
        <f>"FES1162691240"</f>
        <v>FES1162691240</v>
      </c>
      <c r="C2938" s="7">
        <v>43607</v>
      </c>
      <c r="D2938" s="6">
        <v>1</v>
      </c>
      <c r="E2938" s="6">
        <v>2170689608</v>
      </c>
      <c r="F2938" s="6" t="s">
        <v>16</v>
      </c>
      <c r="G2938" s="6" t="s">
        <v>17</v>
      </c>
      <c r="H2938" s="6" t="s">
        <v>43</v>
      </c>
      <c r="I2938" s="6" t="s">
        <v>54</v>
      </c>
      <c r="J2938" s="6" t="s">
        <v>659</v>
      </c>
      <c r="K2938" s="7">
        <v>43608</v>
      </c>
      <c r="L2938" s="8">
        <v>0.41666666666666669</v>
      </c>
      <c r="M2938" s="6" t="s">
        <v>3948</v>
      </c>
      <c r="N2938" s="14" t="s">
        <v>21</v>
      </c>
      <c r="O2938" s="6" t="s">
        <v>22</v>
      </c>
    </row>
    <row r="2939" spans="1:15" hidden="1">
      <c r="A2939" s="6" t="s">
        <v>15</v>
      </c>
      <c r="B2939" s="6" t="str">
        <f>"FES1162691153"</f>
        <v>FES1162691153</v>
      </c>
      <c r="C2939" s="7">
        <v>43607</v>
      </c>
      <c r="D2939" s="6">
        <v>1</v>
      </c>
      <c r="E2939" s="6">
        <v>2170689559</v>
      </c>
      <c r="F2939" s="6" t="s">
        <v>16</v>
      </c>
      <c r="G2939" s="6" t="s">
        <v>17</v>
      </c>
      <c r="H2939" s="6" t="s">
        <v>2611</v>
      </c>
      <c r="I2939" s="6" t="s">
        <v>3949</v>
      </c>
      <c r="J2939" s="6" t="s">
        <v>3950</v>
      </c>
      <c r="K2939" s="7">
        <v>43608</v>
      </c>
      <c r="L2939" s="8">
        <v>0.375</v>
      </c>
      <c r="M2939" s="6" t="s">
        <v>2769</v>
      </c>
      <c r="N2939" s="14" t="s">
        <v>21</v>
      </c>
      <c r="O2939" s="6" t="s">
        <v>22</v>
      </c>
    </row>
    <row r="2940" spans="1:15" hidden="1">
      <c r="A2940" s="6" t="s">
        <v>15</v>
      </c>
      <c r="B2940" s="6" t="str">
        <f>"FES1162691133"</f>
        <v>FES1162691133</v>
      </c>
      <c r="C2940" s="7">
        <v>43607</v>
      </c>
      <c r="D2940" s="6">
        <v>1</v>
      </c>
      <c r="E2940" s="6">
        <v>2170688096</v>
      </c>
      <c r="F2940" s="6" t="s">
        <v>16</v>
      </c>
      <c r="G2940" s="6" t="s">
        <v>17</v>
      </c>
      <c r="H2940" s="6" t="s">
        <v>32</v>
      </c>
      <c r="I2940" s="6" t="s">
        <v>33</v>
      </c>
      <c r="J2940" s="6" t="s">
        <v>832</v>
      </c>
      <c r="K2940" s="7">
        <v>43608</v>
      </c>
      <c r="L2940" s="8">
        <v>0.3923611111111111</v>
      </c>
      <c r="M2940" s="6" t="s">
        <v>2998</v>
      </c>
      <c r="N2940" s="14" t="s">
        <v>21</v>
      </c>
      <c r="O2940" s="6" t="s">
        <v>22</v>
      </c>
    </row>
    <row r="2941" spans="1:15" hidden="1">
      <c r="A2941" s="6" t="s">
        <v>15</v>
      </c>
      <c r="B2941" s="6" t="str">
        <f>"FES1162691192"</f>
        <v>FES1162691192</v>
      </c>
      <c r="C2941" s="7">
        <v>43607</v>
      </c>
      <c r="D2941" s="6">
        <v>1</v>
      </c>
      <c r="E2941" s="6">
        <v>2170685286</v>
      </c>
      <c r="F2941" s="6" t="s">
        <v>16</v>
      </c>
      <c r="G2941" s="6" t="s">
        <v>17</v>
      </c>
      <c r="H2941" s="6" t="s">
        <v>43</v>
      </c>
      <c r="I2941" s="6" t="s">
        <v>44</v>
      </c>
      <c r="J2941" s="6" t="s">
        <v>1485</v>
      </c>
      <c r="K2941" s="7">
        <v>43608</v>
      </c>
      <c r="L2941" s="8">
        <v>0.3666666666666667</v>
      </c>
      <c r="M2941" s="6" t="s">
        <v>3951</v>
      </c>
      <c r="N2941" s="14" t="s">
        <v>21</v>
      </c>
      <c r="O2941" s="6" t="s">
        <v>22</v>
      </c>
    </row>
    <row r="2942" spans="1:15" hidden="1">
      <c r="A2942" s="6" t="s">
        <v>15</v>
      </c>
      <c r="B2942" s="6" t="str">
        <f>"FES1162691331"</f>
        <v>FES1162691331</v>
      </c>
      <c r="C2942" s="7">
        <v>43607</v>
      </c>
      <c r="D2942" s="6">
        <v>1</v>
      </c>
      <c r="E2942" s="6">
        <v>2170689720</v>
      </c>
      <c r="F2942" s="6" t="s">
        <v>16</v>
      </c>
      <c r="G2942" s="6" t="s">
        <v>17</v>
      </c>
      <c r="H2942" s="6" t="s">
        <v>43</v>
      </c>
      <c r="I2942" s="6" t="s">
        <v>44</v>
      </c>
      <c r="J2942" s="6" t="s">
        <v>336</v>
      </c>
      <c r="K2942" s="7">
        <v>43608</v>
      </c>
      <c r="L2942" s="8">
        <v>0.34583333333333338</v>
      </c>
      <c r="M2942" s="6" t="s">
        <v>1502</v>
      </c>
      <c r="N2942" s="14" t="s">
        <v>21</v>
      </c>
      <c r="O2942" s="6" t="s">
        <v>22</v>
      </c>
    </row>
    <row r="2943" spans="1:15" hidden="1">
      <c r="A2943" s="6" t="s">
        <v>15</v>
      </c>
      <c r="B2943" s="6" t="str">
        <f>"FES1162691268"</f>
        <v>FES1162691268</v>
      </c>
      <c r="C2943" s="7">
        <v>43607</v>
      </c>
      <c r="D2943" s="6">
        <v>1</v>
      </c>
      <c r="E2943" s="6">
        <v>2170689644</v>
      </c>
      <c r="F2943" s="6" t="s">
        <v>16</v>
      </c>
      <c r="G2943" s="6" t="s">
        <v>17</v>
      </c>
      <c r="H2943" s="6" t="s">
        <v>322</v>
      </c>
      <c r="I2943" s="6" t="s">
        <v>618</v>
      </c>
      <c r="J2943" s="6" t="s">
        <v>619</v>
      </c>
      <c r="K2943" s="7">
        <v>43608</v>
      </c>
      <c r="L2943" s="8">
        <v>0.45833333333333331</v>
      </c>
      <c r="M2943" s="6" t="s">
        <v>620</v>
      </c>
      <c r="N2943" s="14" t="s">
        <v>21</v>
      </c>
      <c r="O2943" s="6" t="s">
        <v>22</v>
      </c>
    </row>
    <row r="2944" spans="1:15">
      <c r="A2944" s="6" t="s">
        <v>15</v>
      </c>
      <c r="B2944" s="6" t="str">
        <f>"FES1162691347"</f>
        <v>FES1162691347</v>
      </c>
      <c r="C2944" s="7">
        <v>43607</v>
      </c>
      <c r="D2944" s="6">
        <v>1</v>
      </c>
      <c r="E2944" s="6">
        <v>2170689733</v>
      </c>
      <c r="F2944" s="6" t="s">
        <v>16</v>
      </c>
      <c r="G2944" s="6" t="s">
        <v>17</v>
      </c>
      <c r="H2944" s="6" t="s">
        <v>17</v>
      </c>
      <c r="I2944" s="6" t="s">
        <v>64</v>
      </c>
      <c r="J2944" s="6" t="s">
        <v>553</v>
      </c>
      <c r="K2944" s="7">
        <v>43608</v>
      </c>
      <c r="L2944" s="8">
        <v>0.45833333333333331</v>
      </c>
      <c r="M2944" s="6" t="s">
        <v>3946</v>
      </c>
      <c r="N2944" s="14" t="s">
        <v>21</v>
      </c>
      <c r="O2944" s="6" t="s">
        <v>22</v>
      </c>
    </row>
    <row r="2945" spans="1:15" hidden="1">
      <c r="A2945" s="6" t="s">
        <v>15</v>
      </c>
      <c r="B2945" s="6" t="str">
        <f>"FES1162691348"</f>
        <v>FES1162691348</v>
      </c>
      <c r="C2945" s="7">
        <v>43607</v>
      </c>
      <c r="D2945" s="6">
        <v>1</v>
      </c>
      <c r="E2945" s="6">
        <v>2170689735</v>
      </c>
      <c r="F2945" s="6" t="s">
        <v>16</v>
      </c>
      <c r="G2945" s="6" t="s">
        <v>17</v>
      </c>
      <c r="H2945" s="6" t="s">
        <v>32</v>
      </c>
      <c r="I2945" s="6" t="s">
        <v>33</v>
      </c>
      <c r="J2945" s="6" t="s">
        <v>365</v>
      </c>
      <c r="K2945" s="7">
        <v>43608</v>
      </c>
      <c r="L2945" s="8">
        <v>0.37847222222222227</v>
      </c>
      <c r="M2945" s="6" t="s">
        <v>3574</v>
      </c>
      <c r="N2945" s="14" t="s">
        <v>21</v>
      </c>
      <c r="O2945" s="6" t="s">
        <v>22</v>
      </c>
    </row>
    <row r="2946" spans="1:15" hidden="1">
      <c r="A2946" s="6" t="s">
        <v>15</v>
      </c>
      <c r="B2946" s="6" t="str">
        <f>"FES1162691355"</f>
        <v>FES1162691355</v>
      </c>
      <c r="C2946" s="7">
        <v>43607</v>
      </c>
      <c r="D2946" s="6">
        <v>1</v>
      </c>
      <c r="E2946" s="6">
        <v>2170689581</v>
      </c>
      <c r="F2946" s="6" t="s">
        <v>16</v>
      </c>
      <c r="G2946" s="6" t="s">
        <v>17</v>
      </c>
      <c r="H2946" s="6" t="s">
        <v>37</v>
      </c>
      <c r="I2946" s="6" t="s">
        <v>38</v>
      </c>
      <c r="J2946" s="6" t="s">
        <v>535</v>
      </c>
      <c r="K2946" s="7">
        <v>43608</v>
      </c>
      <c r="L2946" s="8">
        <v>0.35416666666666669</v>
      </c>
      <c r="M2946" s="6" t="s">
        <v>1648</v>
      </c>
      <c r="N2946" s="14" t="s">
        <v>21</v>
      </c>
      <c r="O2946" s="6" t="s">
        <v>22</v>
      </c>
    </row>
    <row r="2947" spans="1:15" hidden="1">
      <c r="A2947" s="6" t="s">
        <v>15</v>
      </c>
      <c r="B2947" s="6" t="str">
        <f>"FES1162691354"</f>
        <v>FES1162691354</v>
      </c>
      <c r="C2947" s="7">
        <v>43607</v>
      </c>
      <c r="D2947" s="6">
        <v>1</v>
      </c>
      <c r="E2947" s="6">
        <v>21706898742</v>
      </c>
      <c r="F2947" s="6" t="s">
        <v>16</v>
      </c>
      <c r="G2947" s="6" t="s">
        <v>17</v>
      </c>
      <c r="H2947" s="6" t="s">
        <v>43</v>
      </c>
      <c r="I2947" s="6" t="s">
        <v>44</v>
      </c>
      <c r="J2947" s="6" t="s">
        <v>591</v>
      </c>
      <c r="K2947" s="7">
        <v>43608</v>
      </c>
      <c r="L2947" s="8">
        <v>0.32361111111111113</v>
      </c>
      <c r="M2947" s="6" t="s">
        <v>3545</v>
      </c>
      <c r="N2947" s="14" t="s">
        <v>21</v>
      </c>
      <c r="O2947" s="6" t="s">
        <v>22</v>
      </c>
    </row>
    <row r="2948" spans="1:15">
      <c r="A2948" s="6" t="s">
        <v>15</v>
      </c>
      <c r="B2948" s="6" t="str">
        <f>"FES1162691358"</f>
        <v>FES1162691358</v>
      </c>
      <c r="C2948" s="7">
        <v>43607</v>
      </c>
      <c r="D2948" s="6">
        <v>1</v>
      </c>
      <c r="E2948" s="6">
        <v>2176897444</v>
      </c>
      <c r="F2948" s="6" t="s">
        <v>16</v>
      </c>
      <c r="G2948" s="6" t="s">
        <v>17</v>
      </c>
      <c r="H2948" s="6" t="s">
        <v>17</v>
      </c>
      <c r="I2948" s="6" t="s">
        <v>23</v>
      </c>
      <c r="J2948" s="6" t="s">
        <v>479</v>
      </c>
      <c r="K2948" s="7">
        <v>43608</v>
      </c>
      <c r="L2948" s="8">
        <v>0.37222222222222223</v>
      </c>
      <c r="M2948" s="6" t="s">
        <v>3908</v>
      </c>
      <c r="N2948" s="14" t="s">
        <v>21</v>
      </c>
      <c r="O2948" s="6" t="s">
        <v>22</v>
      </c>
    </row>
    <row r="2949" spans="1:15">
      <c r="A2949" s="6" t="s">
        <v>15</v>
      </c>
      <c r="B2949" s="6" t="str">
        <f>"FES1162691361"</f>
        <v>FES1162691361</v>
      </c>
      <c r="C2949" s="7">
        <v>43607</v>
      </c>
      <c r="D2949" s="6">
        <v>1</v>
      </c>
      <c r="E2949" s="6">
        <v>2170687948</v>
      </c>
      <c r="F2949" s="6" t="s">
        <v>16</v>
      </c>
      <c r="G2949" s="6" t="s">
        <v>17</v>
      </c>
      <c r="H2949" s="6" t="s">
        <v>17</v>
      </c>
      <c r="I2949" s="6" t="s">
        <v>23</v>
      </c>
      <c r="J2949" s="6" t="s">
        <v>479</v>
      </c>
      <c r="K2949" s="7">
        <v>43608</v>
      </c>
      <c r="L2949" s="8">
        <v>0.37291666666666662</v>
      </c>
      <c r="M2949" s="6" t="s">
        <v>3952</v>
      </c>
      <c r="N2949" s="14" t="s">
        <v>21</v>
      </c>
      <c r="O2949" s="6" t="s">
        <v>22</v>
      </c>
    </row>
    <row r="2950" spans="1:15" hidden="1">
      <c r="A2950" s="6" t="s">
        <v>15</v>
      </c>
      <c r="B2950" s="6" t="str">
        <f>"FES1162691352"</f>
        <v>FES1162691352</v>
      </c>
      <c r="C2950" s="7">
        <v>43607</v>
      </c>
      <c r="D2950" s="6">
        <v>1</v>
      </c>
      <c r="E2950" s="6">
        <v>2170697397</v>
      </c>
      <c r="F2950" s="6" t="s">
        <v>16</v>
      </c>
      <c r="G2950" s="6" t="s">
        <v>17</v>
      </c>
      <c r="H2950" s="6" t="s">
        <v>141</v>
      </c>
      <c r="I2950" s="6" t="s">
        <v>142</v>
      </c>
      <c r="J2950" s="6" t="s">
        <v>1955</v>
      </c>
      <c r="K2950" s="7">
        <v>43608</v>
      </c>
      <c r="L2950" s="8">
        <v>0.37083333333333335</v>
      </c>
      <c r="M2950" s="6" t="s">
        <v>1917</v>
      </c>
      <c r="N2950" s="14" t="s">
        <v>21</v>
      </c>
      <c r="O2950" s="6" t="s">
        <v>22</v>
      </c>
    </row>
    <row r="2951" spans="1:15" hidden="1">
      <c r="A2951" s="6" t="s">
        <v>15</v>
      </c>
      <c r="B2951" s="6" t="str">
        <f>"FES1162691351"</f>
        <v>FES1162691351</v>
      </c>
      <c r="C2951" s="7">
        <v>43607</v>
      </c>
      <c r="D2951" s="6">
        <v>1</v>
      </c>
      <c r="E2951" s="6">
        <v>2170689738</v>
      </c>
      <c r="F2951" s="6" t="s">
        <v>16</v>
      </c>
      <c r="G2951" s="6" t="s">
        <v>17</v>
      </c>
      <c r="H2951" s="6" t="s">
        <v>32</v>
      </c>
      <c r="I2951" s="6" t="s">
        <v>33</v>
      </c>
      <c r="J2951" s="6" t="s">
        <v>3953</v>
      </c>
      <c r="K2951" s="7">
        <v>43608</v>
      </c>
      <c r="L2951" s="8">
        <v>0.39930555555555558</v>
      </c>
      <c r="M2951" s="6" t="s">
        <v>3954</v>
      </c>
      <c r="N2951" s="14" t="s">
        <v>21</v>
      </c>
      <c r="O2951" s="6" t="s">
        <v>22</v>
      </c>
    </row>
    <row r="2952" spans="1:15" hidden="1">
      <c r="A2952" s="6" t="s">
        <v>15</v>
      </c>
      <c r="B2952" s="6" t="str">
        <f>"FES1162691356"</f>
        <v>FES1162691356</v>
      </c>
      <c r="C2952" s="7">
        <v>43607</v>
      </c>
      <c r="D2952" s="6">
        <v>1</v>
      </c>
      <c r="E2952" s="6">
        <v>2170685651</v>
      </c>
      <c r="F2952" s="6" t="s">
        <v>16</v>
      </c>
      <c r="G2952" s="6" t="s">
        <v>17</v>
      </c>
      <c r="H2952" s="6" t="s">
        <v>37</v>
      </c>
      <c r="I2952" s="6" t="s">
        <v>38</v>
      </c>
      <c r="J2952" s="6" t="s">
        <v>353</v>
      </c>
      <c r="K2952" s="7">
        <v>43608</v>
      </c>
      <c r="L2952" s="8">
        <v>0.3444444444444445</v>
      </c>
      <c r="M2952" s="6" t="s">
        <v>3955</v>
      </c>
      <c r="N2952" s="14" t="s">
        <v>21</v>
      </c>
      <c r="O2952" s="6" t="s">
        <v>22</v>
      </c>
    </row>
    <row r="2953" spans="1:15" hidden="1">
      <c r="A2953" s="6" t="s">
        <v>15</v>
      </c>
      <c r="B2953" s="6" t="str">
        <f>"019911568644"</f>
        <v>019911568644</v>
      </c>
      <c r="C2953" s="7">
        <v>43607</v>
      </c>
      <c r="D2953" s="6">
        <v>1</v>
      </c>
      <c r="E2953" s="6" t="s">
        <v>1064</v>
      </c>
      <c r="F2953" s="6" t="s">
        <v>16</v>
      </c>
      <c r="G2953" s="6" t="s">
        <v>43</v>
      </c>
      <c r="H2953" s="6" t="s">
        <v>59</v>
      </c>
      <c r="I2953" s="6" t="s">
        <v>64</v>
      </c>
      <c r="J2953" s="6" t="s">
        <v>1061</v>
      </c>
      <c r="K2953" s="7">
        <v>43608</v>
      </c>
      <c r="L2953" s="8">
        <v>0.375</v>
      </c>
      <c r="M2953" s="6" t="s">
        <v>477</v>
      </c>
      <c r="N2953" s="14" t="s">
        <v>21</v>
      </c>
      <c r="O2953" s="6" t="s">
        <v>22</v>
      </c>
    </row>
    <row r="2954" spans="1:15" hidden="1">
      <c r="A2954" s="6" t="s">
        <v>15</v>
      </c>
      <c r="B2954" s="6" t="str">
        <f>"019911311352"</f>
        <v>019911311352</v>
      </c>
      <c r="C2954" s="7">
        <v>43607</v>
      </c>
      <c r="D2954" s="6">
        <v>1</v>
      </c>
      <c r="E2954" s="6">
        <v>1703</v>
      </c>
      <c r="F2954" s="6" t="s">
        <v>58</v>
      </c>
      <c r="G2954" s="6" t="s">
        <v>43</v>
      </c>
      <c r="H2954" s="6" t="s">
        <v>59</v>
      </c>
      <c r="I2954" s="6" t="s">
        <v>64</v>
      </c>
      <c r="J2954" s="6" t="s">
        <v>1062</v>
      </c>
      <c r="K2954" s="7">
        <v>43608</v>
      </c>
      <c r="L2954" s="8">
        <v>0.375</v>
      </c>
      <c r="M2954" s="6" t="s">
        <v>3956</v>
      </c>
      <c r="N2954" s="14" t="s">
        <v>21</v>
      </c>
      <c r="O2954" s="6" t="s">
        <v>22</v>
      </c>
    </row>
    <row r="2955" spans="1:15" hidden="1">
      <c r="A2955" s="6" t="s">
        <v>15</v>
      </c>
      <c r="B2955" s="6" t="str">
        <f>"FES1162691403"</f>
        <v>FES1162691403</v>
      </c>
      <c r="C2955" s="7">
        <v>43607</v>
      </c>
      <c r="D2955" s="6">
        <v>1</v>
      </c>
      <c r="E2955" s="6">
        <v>2170689787</v>
      </c>
      <c r="F2955" s="6" t="s">
        <v>16</v>
      </c>
      <c r="G2955" s="6" t="s">
        <v>17</v>
      </c>
      <c r="H2955" s="6" t="s">
        <v>43</v>
      </c>
      <c r="I2955" s="6" t="s">
        <v>44</v>
      </c>
      <c r="J2955" s="6" t="s">
        <v>207</v>
      </c>
      <c r="K2955" s="7">
        <v>43608</v>
      </c>
      <c r="L2955" s="8">
        <v>0.41666666666666669</v>
      </c>
      <c r="M2955" s="6" t="s">
        <v>1789</v>
      </c>
      <c r="N2955" s="14" t="s">
        <v>21</v>
      </c>
      <c r="O2955" s="6" t="s">
        <v>22</v>
      </c>
    </row>
    <row r="2956" spans="1:15" hidden="1">
      <c r="A2956" s="6" t="s">
        <v>15</v>
      </c>
      <c r="B2956" s="6" t="str">
        <f>"FES1162691364"</f>
        <v>FES1162691364</v>
      </c>
      <c r="C2956" s="7">
        <v>43607</v>
      </c>
      <c r="D2956" s="6">
        <v>1</v>
      </c>
      <c r="E2956" s="6">
        <v>2170689752</v>
      </c>
      <c r="F2956" s="6" t="s">
        <v>58</v>
      </c>
      <c r="G2956" s="6" t="s">
        <v>59</v>
      </c>
      <c r="H2956" s="6" t="s">
        <v>59</v>
      </c>
      <c r="I2956" s="6" t="s">
        <v>148</v>
      </c>
      <c r="J2956" s="6" t="s">
        <v>164</v>
      </c>
      <c r="K2956" s="7">
        <v>43608</v>
      </c>
      <c r="L2956" s="8">
        <v>0.40069444444444446</v>
      </c>
      <c r="M2956" s="6" t="s">
        <v>3869</v>
      </c>
      <c r="N2956" s="14" t="s">
        <v>21</v>
      </c>
      <c r="O2956" s="6" t="s">
        <v>22</v>
      </c>
    </row>
    <row r="2957" spans="1:15">
      <c r="A2957" s="6" t="s">
        <v>15</v>
      </c>
      <c r="B2957" s="6" t="str">
        <f>"FES1162691261"</f>
        <v>FES1162691261</v>
      </c>
      <c r="C2957" s="7">
        <v>43607</v>
      </c>
      <c r="D2957" s="6">
        <v>1</v>
      </c>
      <c r="E2957" s="6">
        <v>2170689649</v>
      </c>
      <c r="F2957" s="6" t="s">
        <v>16</v>
      </c>
      <c r="G2957" s="6" t="s">
        <v>17</v>
      </c>
      <c r="H2957" s="6" t="s">
        <v>17</v>
      </c>
      <c r="I2957" s="6" t="s">
        <v>18</v>
      </c>
      <c r="J2957" s="6" t="s">
        <v>3756</v>
      </c>
      <c r="K2957" s="7">
        <v>43608</v>
      </c>
      <c r="L2957" s="8">
        <v>0.33333333333333331</v>
      </c>
      <c r="M2957" s="6" t="s">
        <v>3757</v>
      </c>
      <c r="N2957" s="14" t="s">
        <v>21</v>
      </c>
      <c r="O2957" s="6" t="s">
        <v>22</v>
      </c>
    </row>
    <row r="2958" spans="1:15">
      <c r="A2958" s="17" t="s">
        <v>15</v>
      </c>
      <c r="B2958" s="17" t="str">
        <f>"FES1162691259"</f>
        <v>FES1162691259</v>
      </c>
      <c r="C2958" s="18">
        <v>43607</v>
      </c>
      <c r="D2958" s="17">
        <v>1</v>
      </c>
      <c r="E2958" s="17">
        <v>2170689642</v>
      </c>
      <c r="F2958" s="17" t="s">
        <v>16</v>
      </c>
      <c r="G2958" s="17" t="s">
        <v>17</v>
      </c>
      <c r="H2958" s="17" t="s">
        <v>17</v>
      </c>
      <c r="I2958" s="17" t="s">
        <v>103</v>
      </c>
      <c r="J2958" s="17" t="s">
        <v>108</v>
      </c>
      <c r="K2958" s="18">
        <v>43608</v>
      </c>
      <c r="L2958" s="19">
        <v>0.33333333333333331</v>
      </c>
      <c r="M2958" s="17" t="s">
        <v>3862</v>
      </c>
      <c r="N2958" s="26" t="s">
        <v>21</v>
      </c>
      <c r="O2958" s="17" t="s">
        <v>3957</v>
      </c>
    </row>
    <row r="2959" spans="1:15" hidden="1">
      <c r="A2959" s="6" t="s">
        <v>15</v>
      </c>
      <c r="B2959" s="6" t="str">
        <f>"FES1162691152"</f>
        <v>FES1162691152</v>
      </c>
      <c r="C2959" s="7">
        <v>43607</v>
      </c>
      <c r="D2959" s="6">
        <v>1</v>
      </c>
      <c r="E2959" s="6">
        <v>2170689558</v>
      </c>
      <c r="F2959" s="6" t="s">
        <v>16</v>
      </c>
      <c r="G2959" s="6" t="s">
        <v>17</v>
      </c>
      <c r="H2959" s="6" t="s">
        <v>37</v>
      </c>
      <c r="I2959" s="6" t="s">
        <v>2422</v>
      </c>
      <c r="J2959" s="6" t="s">
        <v>1008</v>
      </c>
      <c r="K2959" s="7">
        <v>43608</v>
      </c>
      <c r="L2959" s="6" t="s">
        <v>2423</v>
      </c>
      <c r="M2959" s="6" t="s">
        <v>3958</v>
      </c>
      <c r="N2959" s="14" t="s">
        <v>21</v>
      </c>
      <c r="O2959" s="6" t="s">
        <v>22</v>
      </c>
    </row>
    <row r="2960" spans="1:15" hidden="1">
      <c r="A2960" s="6" t="s">
        <v>15</v>
      </c>
      <c r="B2960" s="6" t="str">
        <f>"FES1162691212"</f>
        <v>FES1162691212</v>
      </c>
      <c r="C2960" s="7">
        <v>43607</v>
      </c>
      <c r="D2960" s="6">
        <v>1</v>
      </c>
      <c r="E2960" s="6">
        <v>2170687341</v>
      </c>
      <c r="F2960" s="6" t="s">
        <v>16</v>
      </c>
      <c r="G2960" s="6" t="s">
        <v>17</v>
      </c>
      <c r="H2960" s="6" t="s">
        <v>141</v>
      </c>
      <c r="I2960" s="6" t="s">
        <v>142</v>
      </c>
      <c r="J2960" s="6" t="s">
        <v>864</v>
      </c>
      <c r="K2960" s="7">
        <v>43608</v>
      </c>
      <c r="L2960" s="8">
        <v>0.34027777777777773</v>
      </c>
      <c r="M2960" s="6" t="s">
        <v>2254</v>
      </c>
      <c r="N2960" s="14" t="s">
        <v>21</v>
      </c>
      <c r="O2960" s="6" t="s">
        <v>22</v>
      </c>
    </row>
    <row r="2961" spans="1:15" hidden="1">
      <c r="A2961" s="6" t="s">
        <v>15</v>
      </c>
      <c r="B2961" s="6" t="str">
        <f>"FES1162691178"</f>
        <v>FES1162691178</v>
      </c>
      <c r="C2961" s="7">
        <v>43607</v>
      </c>
      <c r="D2961" s="6">
        <v>1</v>
      </c>
      <c r="E2961" s="6">
        <v>2170689588</v>
      </c>
      <c r="F2961" s="6" t="s">
        <v>16</v>
      </c>
      <c r="G2961" s="6" t="s">
        <v>17</v>
      </c>
      <c r="H2961" s="6" t="s">
        <v>141</v>
      </c>
      <c r="I2961" s="6" t="s">
        <v>185</v>
      </c>
      <c r="J2961" s="6" t="s">
        <v>3350</v>
      </c>
      <c r="K2961" s="7">
        <v>43608</v>
      </c>
      <c r="L2961" s="8">
        <v>0.39444444444444443</v>
      </c>
      <c r="M2961" s="6" t="s">
        <v>3148</v>
      </c>
      <c r="N2961" s="14" t="s">
        <v>21</v>
      </c>
      <c r="O2961" s="6" t="s">
        <v>22</v>
      </c>
    </row>
    <row r="2962" spans="1:15" hidden="1">
      <c r="A2962" s="6" t="s">
        <v>15</v>
      </c>
      <c r="B2962" s="6" t="str">
        <f>"FES1162691187"</f>
        <v>FES1162691187</v>
      </c>
      <c r="C2962" s="7">
        <v>43607</v>
      </c>
      <c r="D2962" s="6">
        <v>1</v>
      </c>
      <c r="E2962" s="6">
        <v>2170689600</v>
      </c>
      <c r="F2962" s="6" t="s">
        <v>16</v>
      </c>
      <c r="G2962" s="6" t="s">
        <v>17</v>
      </c>
      <c r="H2962" s="6" t="s">
        <v>132</v>
      </c>
      <c r="I2962" s="6" t="s">
        <v>1066</v>
      </c>
      <c r="J2962" s="6" t="s">
        <v>1067</v>
      </c>
      <c r="K2962" s="7">
        <v>43608</v>
      </c>
      <c r="L2962" s="8">
        <v>0.39444444444444443</v>
      </c>
      <c r="M2962" s="6" t="s">
        <v>3959</v>
      </c>
      <c r="N2962" s="14" t="s">
        <v>21</v>
      </c>
      <c r="O2962" s="6" t="s">
        <v>22</v>
      </c>
    </row>
    <row r="2963" spans="1:15" hidden="1">
      <c r="A2963" s="6" t="s">
        <v>15</v>
      </c>
      <c r="B2963" s="6" t="str">
        <f>"FES1162691126"</f>
        <v>FES1162691126</v>
      </c>
      <c r="C2963" s="7">
        <v>43607</v>
      </c>
      <c r="D2963" s="6">
        <v>1</v>
      </c>
      <c r="E2963" s="6">
        <v>2170688014</v>
      </c>
      <c r="F2963" s="6" t="s">
        <v>16</v>
      </c>
      <c r="G2963" s="6" t="s">
        <v>17</v>
      </c>
      <c r="H2963" s="6" t="s">
        <v>141</v>
      </c>
      <c r="I2963" s="6" t="s">
        <v>142</v>
      </c>
      <c r="J2963" s="6" t="s">
        <v>976</v>
      </c>
      <c r="K2963" s="7">
        <v>43608</v>
      </c>
      <c r="L2963" s="8">
        <v>0.37291666666666662</v>
      </c>
      <c r="M2963" s="6" t="s">
        <v>3457</v>
      </c>
      <c r="N2963" s="14" t="s">
        <v>21</v>
      </c>
      <c r="O2963" s="6" t="s">
        <v>22</v>
      </c>
    </row>
    <row r="2964" spans="1:15" hidden="1">
      <c r="A2964" s="6" t="s">
        <v>15</v>
      </c>
      <c r="B2964" s="6" t="str">
        <f>"FES1162691207"</f>
        <v>FES1162691207</v>
      </c>
      <c r="C2964" s="7">
        <v>43607</v>
      </c>
      <c r="D2964" s="6">
        <v>1</v>
      </c>
      <c r="E2964" s="6">
        <v>2170687288</v>
      </c>
      <c r="F2964" s="6" t="s">
        <v>16</v>
      </c>
      <c r="G2964" s="6" t="s">
        <v>17</v>
      </c>
      <c r="H2964" s="6" t="s">
        <v>141</v>
      </c>
      <c r="I2964" s="6" t="s">
        <v>1451</v>
      </c>
      <c r="J2964" s="6" t="s">
        <v>1452</v>
      </c>
      <c r="K2964" s="7">
        <v>43608</v>
      </c>
      <c r="L2964" s="8">
        <v>0.35000000000000003</v>
      </c>
      <c r="M2964" s="6" t="s">
        <v>3380</v>
      </c>
      <c r="N2964" s="14" t="s">
        <v>21</v>
      </c>
      <c r="O2964" s="6" t="s">
        <v>22</v>
      </c>
    </row>
    <row r="2965" spans="1:15">
      <c r="A2965" s="6" t="s">
        <v>15</v>
      </c>
      <c r="B2965" s="6" t="str">
        <f>"FES1162691336"</f>
        <v>FES1162691336</v>
      </c>
      <c r="C2965" s="7">
        <v>43607</v>
      </c>
      <c r="D2965" s="6">
        <v>1</v>
      </c>
      <c r="E2965" s="6">
        <v>2170683474</v>
      </c>
      <c r="F2965" s="6" t="s">
        <v>16</v>
      </c>
      <c r="G2965" s="6" t="s">
        <v>17</v>
      </c>
      <c r="H2965" s="6" t="s">
        <v>17</v>
      </c>
      <c r="I2965" s="6" t="s">
        <v>84</v>
      </c>
      <c r="J2965" s="6" t="s">
        <v>85</v>
      </c>
      <c r="K2965" s="7">
        <v>43608</v>
      </c>
      <c r="L2965" s="8">
        <v>0.33333333333333331</v>
      </c>
      <c r="M2965" s="6" t="s">
        <v>3892</v>
      </c>
      <c r="N2965" s="14" t="s">
        <v>21</v>
      </c>
      <c r="O2965" s="6" t="s">
        <v>22</v>
      </c>
    </row>
    <row r="2966" spans="1:15">
      <c r="A2966" s="6" t="s">
        <v>15</v>
      </c>
      <c r="B2966" s="6" t="str">
        <f>"FES1162691359"</f>
        <v>FES1162691359</v>
      </c>
      <c r="C2966" s="7">
        <v>43607</v>
      </c>
      <c r="D2966" s="6">
        <v>1</v>
      </c>
      <c r="E2966" s="6">
        <v>2170689745</v>
      </c>
      <c r="F2966" s="6" t="s">
        <v>16</v>
      </c>
      <c r="G2966" s="6" t="s">
        <v>17</v>
      </c>
      <c r="H2966" s="6" t="s">
        <v>17</v>
      </c>
      <c r="I2966" s="6" t="s">
        <v>23</v>
      </c>
      <c r="J2966" s="6" t="s">
        <v>479</v>
      </c>
      <c r="K2966" s="7">
        <v>43608</v>
      </c>
      <c r="L2966" s="8">
        <v>0.36527777777777781</v>
      </c>
      <c r="M2966" s="6" t="s">
        <v>3908</v>
      </c>
      <c r="N2966" s="14" t="s">
        <v>21</v>
      </c>
      <c r="O2966" s="6" t="s">
        <v>22</v>
      </c>
    </row>
    <row r="2967" spans="1:15" hidden="1">
      <c r="A2967" s="6" t="s">
        <v>15</v>
      </c>
      <c r="B2967" s="6" t="str">
        <f>"FES1162691300"</f>
        <v>FES1162691300</v>
      </c>
      <c r="C2967" s="7">
        <v>43607</v>
      </c>
      <c r="D2967" s="6">
        <v>1</v>
      </c>
      <c r="E2967" s="6">
        <v>2170689680</v>
      </c>
      <c r="F2967" s="6" t="s">
        <v>16</v>
      </c>
      <c r="G2967" s="6" t="s">
        <v>17</v>
      </c>
      <c r="H2967" s="6" t="s">
        <v>322</v>
      </c>
      <c r="I2967" s="6" t="s">
        <v>618</v>
      </c>
      <c r="J2967" s="6" t="s">
        <v>619</v>
      </c>
      <c r="K2967" s="7">
        <v>43608</v>
      </c>
      <c r="L2967" s="8">
        <v>0.45833333333333331</v>
      </c>
      <c r="M2967" s="6" t="s">
        <v>620</v>
      </c>
      <c r="N2967" s="14" t="s">
        <v>21</v>
      </c>
      <c r="O2967" s="6" t="s">
        <v>22</v>
      </c>
    </row>
    <row r="2968" spans="1:15" hidden="1">
      <c r="A2968" s="6" t="s">
        <v>15</v>
      </c>
      <c r="B2968" s="6" t="str">
        <f>"FES1162691277"</f>
        <v>FES1162691277</v>
      </c>
      <c r="C2968" s="7">
        <v>43607</v>
      </c>
      <c r="D2968" s="6">
        <v>1</v>
      </c>
      <c r="E2968" s="6">
        <v>2170689654</v>
      </c>
      <c r="F2968" s="6" t="s">
        <v>16</v>
      </c>
      <c r="G2968" s="6" t="s">
        <v>17</v>
      </c>
      <c r="H2968" s="6" t="s">
        <v>290</v>
      </c>
      <c r="I2968" s="6" t="s">
        <v>291</v>
      </c>
      <c r="J2968" s="6" t="s">
        <v>3960</v>
      </c>
      <c r="K2968" s="7">
        <v>43608</v>
      </c>
      <c r="L2968" s="8">
        <v>0.41666666666666669</v>
      </c>
      <c r="M2968" s="6" t="s">
        <v>3961</v>
      </c>
      <c r="N2968" s="14" t="s">
        <v>21</v>
      </c>
      <c r="O2968" s="6" t="s">
        <v>22</v>
      </c>
    </row>
    <row r="2969" spans="1:15" hidden="1">
      <c r="A2969" s="6" t="s">
        <v>15</v>
      </c>
      <c r="B2969" s="6" t="str">
        <f>"FES1162691329"</f>
        <v>FES1162691329</v>
      </c>
      <c r="C2969" s="7">
        <v>43607</v>
      </c>
      <c r="D2969" s="6">
        <v>1</v>
      </c>
      <c r="E2969" s="6">
        <v>2170689717</v>
      </c>
      <c r="F2969" s="6" t="s">
        <v>16</v>
      </c>
      <c r="G2969" s="6" t="s">
        <v>17</v>
      </c>
      <c r="H2969" s="6" t="s">
        <v>43</v>
      </c>
      <c r="I2969" s="6" t="s">
        <v>738</v>
      </c>
      <c r="J2969" s="6" t="s">
        <v>739</v>
      </c>
      <c r="K2969" s="7">
        <v>43608</v>
      </c>
      <c r="L2969" s="8">
        <v>0.4152777777777778</v>
      </c>
      <c r="M2969" s="6" t="s">
        <v>740</v>
      </c>
      <c r="N2969" s="14" t="s">
        <v>21</v>
      </c>
      <c r="O2969" s="6" t="s">
        <v>22</v>
      </c>
    </row>
    <row r="2970" spans="1:15" hidden="1">
      <c r="A2970" s="6" t="s">
        <v>15</v>
      </c>
      <c r="B2970" s="6" t="str">
        <f>"FES1162691274"</f>
        <v>FES1162691274</v>
      </c>
      <c r="C2970" s="7">
        <v>43607</v>
      </c>
      <c r="D2970" s="6">
        <v>1</v>
      </c>
      <c r="E2970" s="6">
        <v>2170689650</v>
      </c>
      <c r="F2970" s="6" t="s">
        <v>16</v>
      </c>
      <c r="G2970" s="6" t="s">
        <v>17</v>
      </c>
      <c r="H2970" s="6" t="s">
        <v>2611</v>
      </c>
      <c r="I2970" s="6" t="s">
        <v>3949</v>
      </c>
      <c r="J2970" s="6" t="s">
        <v>3950</v>
      </c>
      <c r="K2970" s="7">
        <v>43608</v>
      </c>
      <c r="L2970" s="8">
        <v>0.41666666666666669</v>
      </c>
      <c r="M2970" s="6" t="s">
        <v>2769</v>
      </c>
      <c r="N2970" s="14" t="s">
        <v>21</v>
      </c>
      <c r="O2970" s="6" t="s">
        <v>22</v>
      </c>
    </row>
    <row r="2971" spans="1:15" hidden="1">
      <c r="A2971" s="6" t="s">
        <v>15</v>
      </c>
      <c r="B2971" s="6" t="str">
        <f>"FES1162691353"</f>
        <v>FES1162691353</v>
      </c>
      <c r="C2971" s="7">
        <v>43607</v>
      </c>
      <c r="D2971" s="6">
        <v>1</v>
      </c>
      <c r="E2971" s="6">
        <v>2170689740</v>
      </c>
      <c r="F2971" s="6" t="s">
        <v>16</v>
      </c>
      <c r="G2971" s="6" t="s">
        <v>17</v>
      </c>
      <c r="H2971" s="6" t="s">
        <v>43</v>
      </c>
      <c r="I2971" s="6" t="s">
        <v>60</v>
      </c>
      <c r="J2971" s="6" t="s">
        <v>61</v>
      </c>
      <c r="K2971" s="7">
        <v>43608</v>
      </c>
      <c r="L2971" s="8">
        <v>0.41666666666666669</v>
      </c>
      <c r="M2971" s="6" t="s">
        <v>3872</v>
      </c>
      <c r="N2971" s="14" t="s">
        <v>21</v>
      </c>
      <c r="O2971" s="6" t="s">
        <v>22</v>
      </c>
    </row>
    <row r="2972" spans="1:15" hidden="1">
      <c r="A2972" s="6" t="s">
        <v>15</v>
      </c>
      <c r="B2972" s="6" t="str">
        <f>"FES1162691244"</f>
        <v>FES1162691244</v>
      </c>
      <c r="C2972" s="7">
        <v>43607</v>
      </c>
      <c r="D2972" s="6">
        <v>1</v>
      </c>
      <c r="E2972" s="6">
        <v>2170689614</v>
      </c>
      <c r="F2972" s="6" t="s">
        <v>16</v>
      </c>
      <c r="G2972" s="6" t="s">
        <v>17</v>
      </c>
      <c r="H2972" s="6" t="s">
        <v>141</v>
      </c>
      <c r="I2972" s="6" t="s">
        <v>142</v>
      </c>
      <c r="J2972" s="6" t="s">
        <v>880</v>
      </c>
      <c r="K2972" s="7">
        <v>43608</v>
      </c>
      <c r="L2972" s="8">
        <v>0.39861111111111108</v>
      </c>
      <c r="M2972" s="6" t="s">
        <v>3938</v>
      </c>
      <c r="N2972" s="14" t="s">
        <v>21</v>
      </c>
      <c r="O2972" s="6" t="s">
        <v>22</v>
      </c>
    </row>
    <row r="2973" spans="1:15" hidden="1">
      <c r="A2973" s="6" t="s">
        <v>15</v>
      </c>
      <c r="B2973" s="6" t="str">
        <f>"FES1162691393"</f>
        <v>FES1162691393</v>
      </c>
      <c r="C2973" s="7">
        <v>43607</v>
      </c>
      <c r="D2973" s="6">
        <v>1</v>
      </c>
      <c r="E2973" s="6">
        <v>2170689776</v>
      </c>
      <c r="F2973" s="6" t="s">
        <v>16</v>
      </c>
      <c r="G2973" s="6" t="s">
        <v>17</v>
      </c>
      <c r="H2973" s="6" t="s">
        <v>43</v>
      </c>
      <c r="I2973" s="6" t="s">
        <v>44</v>
      </c>
      <c r="J2973" s="6" t="s">
        <v>3856</v>
      </c>
      <c r="K2973" s="7">
        <v>43608</v>
      </c>
      <c r="L2973" s="8">
        <v>0.4055555555555555</v>
      </c>
      <c r="M2973" s="6" t="s">
        <v>1297</v>
      </c>
      <c r="N2973" s="14" t="s">
        <v>21</v>
      </c>
      <c r="O2973" s="6" t="s">
        <v>22</v>
      </c>
    </row>
    <row r="2974" spans="1:15">
      <c r="A2974" s="6" t="s">
        <v>15</v>
      </c>
      <c r="B2974" s="6" t="str">
        <f>"FES1162691370"</f>
        <v>FES1162691370</v>
      </c>
      <c r="C2974" s="7">
        <v>43607</v>
      </c>
      <c r="D2974" s="6">
        <v>1</v>
      </c>
      <c r="E2974" s="6">
        <v>2170689760</v>
      </c>
      <c r="F2974" s="6" t="s">
        <v>16</v>
      </c>
      <c r="G2974" s="6" t="s">
        <v>17</v>
      </c>
      <c r="H2974" s="6" t="s">
        <v>17</v>
      </c>
      <c r="I2974" s="6" t="s">
        <v>64</v>
      </c>
      <c r="J2974" s="6" t="s">
        <v>116</v>
      </c>
      <c r="K2974" s="7">
        <v>43608</v>
      </c>
      <c r="L2974" s="8">
        <v>0.4375</v>
      </c>
      <c r="M2974" s="6" t="s">
        <v>325</v>
      </c>
      <c r="N2974" s="14" t="s">
        <v>21</v>
      </c>
      <c r="O2974" s="6" t="s">
        <v>22</v>
      </c>
    </row>
    <row r="2975" spans="1:15" hidden="1">
      <c r="A2975" s="6" t="s">
        <v>15</v>
      </c>
      <c r="B2975" s="6" t="str">
        <f>"FES1162691383"</f>
        <v>FES1162691383</v>
      </c>
      <c r="C2975" s="7">
        <v>43607</v>
      </c>
      <c r="D2975" s="6">
        <v>1</v>
      </c>
      <c r="E2975" s="6">
        <v>2170689774</v>
      </c>
      <c r="F2975" s="6" t="s">
        <v>16</v>
      </c>
      <c r="G2975" s="6" t="s">
        <v>17</v>
      </c>
      <c r="H2975" s="6" t="s">
        <v>32</v>
      </c>
      <c r="I2975" s="6" t="s">
        <v>269</v>
      </c>
      <c r="J2975" s="6" t="s">
        <v>1568</v>
      </c>
      <c r="K2975" s="7">
        <v>43608</v>
      </c>
      <c r="L2975" s="8">
        <v>0.36458333333333331</v>
      </c>
      <c r="M2975" s="6" t="s">
        <v>1569</v>
      </c>
      <c r="N2975" s="14" t="s">
        <v>21</v>
      </c>
      <c r="O2975" s="6" t="s">
        <v>22</v>
      </c>
    </row>
    <row r="2976" spans="1:15" hidden="1">
      <c r="A2976" s="6" t="s">
        <v>15</v>
      </c>
      <c r="B2976" s="6" t="str">
        <f>"FES1162691249"</f>
        <v>FES1162691249</v>
      </c>
      <c r="C2976" s="7">
        <v>43607</v>
      </c>
      <c r="D2976" s="6">
        <v>1</v>
      </c>
      <c r="E2976" s="6">
        <v>2170689626</v>
      </c>
      <c r="F2976" s="6" t="s">
        <v>16</v>
      </c>
      <c r="G2976" s="6" t="s">
        <v>17</v>
      </c>
      <c r="H2976" s="6" t="s">
        <v>141</v>
      </c>
      <c r="I2976" s="6" t="s">
        <v>142</v>
      </c>
      <c r="J2976" s="6" t="s">
        <v>880</v>
      </c>
      <c r="K2976" s="7">
        <v>43608</v>
      </c>
      <c r="L2976" s="8">
        <v>0.39652777777777781</v>
      </c>
      <c r="M2976" s="6" t="s">
        <v>3938</v>
      </c>
      <c r="N2976" s="14" t="s">
        <v>21</v>
      </c>
      <c r="O2976" s="6" t="s">
        <v>22</v>
      </c>
    </row>
    <row r="2977" spans="1:15">
      <c r="A2977" s="6" t="s">
        <v>15</v>
      </c>
      <c r="B2977" s="6" t="str">
        <f>"FES1162691395"</f>
        <v>FES1162691395</v>
      </c>
      <c r="C2977" s="7">
        <v>43607</v>
      </c>
      <c r="D2977" s="6">
        <v>1</v>
      </c>
      <c r="E2977" s="6">
        <v>2170689778</v>
      </c>
      <c r="F2977" s="6" t="s">
        <v>16</v>
      </c>
      <c r="G2977" s="6" t="s">
        <v>17</v>
      </c>
      <c r="H2977" s="6" t="s">
        <v>17</v>
      </c>
      <c r="I2977" s="6" t="s">
        <v>148</v>
      </c>
      <c r="J2977" s="6" t="s">
        <v>3962</v>
      </c>
      <c r="K2977" s="7">
        <v>43608</v>
      </c>
      <c r="L2977" s="8">
        <v>0.34375</v>
      </c>
      <c r="M2977" s="6" t="s">
        <v>3435</v>
      </c>
      <c r="N2977" s="14" t="s">
        <v>21</v>
      </c>
      <c r="O2977" s="6" t="s">
        <v>22</v>
      </c>
    </row>
    <row r="2978" spans="1:15" hidden="1">
      <c r="A2978" s="6" t="s">
        <v>15</v>
      </c>
      <c r="B2978" s="6" t="str">
        <f>"FES1162691394"</f>
        <v>FES1162691394</v>
      </c>
      <c r="C2978" s="7">
        <v>43607</v>
      </c>
      <c r="D2978" s="6">
        <v>1</v>
      </c>
      <c r="E2978" s="6">
        <v>2170689777</v>
      </c>
      <c r="F2978" s="6" t="s">
        <v>16</v>
      </c>
      <c r="G2978" s="6" t="s">
        <v>17</v>
      </c>
      <c r="H2978" s="6" t="s">
        <v>141</v>
      </c>
      <c r="I2978" s="6" t="s">
        <v>448</v>
      </c>
      <c r="J2978" s="6" t="s">
        <v>449</v>
      </c>
      <c r="K2978" s="7">
        <v>43608</v>
      </c>
      <c r="L2978" s="8">
        <v>0.375</v>
      </c>
      <c r="M2978" s="6" t="s">
        <v>3963</v>
      </c>
      <c r="N2978" s="14" t="s">
        <v>21</v>
      </c>
      <c r="O2978" s="6" t="s">
        <v>22</v>
      </c>
    </row>
    <row r="2979" spans="1:15">
      <c r="A2979" s="6" t="s">
        <v>15</v>
      </c>
      <c r="B2979" s="6" t="str">
        <f>"FES1162691385"</f>
        <v>FES1162691385</v>
      </c>
      <c r="C2979" s="7">
        <v>43607</v>
      </c>
      <c r="D2979" s="6">
        <v>1</v>
      </c>
      <c r="E2979" s="6">
        <v>2170688947</v>
      </c>
      <c r="F2979" s="6" t="s">
        <v>16</v>
      </c>
      <c r="G2979" s="6" t="s">
        <v>17</v>
      </c>
      <c r="H2979" s="6" t="s">
        <v>17</v>
      </c>
      <c r="I2979" s="6" t="s">
        <v>23</v>
      </c>
      <c r="J2979" s="6" t="s">
        <v>3964</v>
      </c>
      <c r="K2979" s="7">
        <v>43608</v>
      </c>
      <c r="L2979" s="8">
        <v>0.34027777777777773</v>
      </c>
      <c r="M2979" s="6" t="s">
        <v>3435</v>
      </c>
      <c r="N2979" s="14" t="s">
        <v>21</v>
      </c>
      <c r="O2979" s="6" t="s">
        <v>22</v>
      </c>
    </row>
    <row r="2980" spans="1:15" hidden="1">
      <c r="A2980" s="6" t="s">
        <v>15</v>
      </c>
      <c r="B2980" s="6" t="str">
        <f>"FES1162691376"</f>
        <v>FES1162691376</v>
      </c>
      <c r="C2980" s="7">
        <v>43607</v>
      </c>
      <c r="D2980" s="6">
        <v>1</v>
      </c>
      <c r="E2980" s="6">
        <v>2170689764</v>
      </c>
      <c r="F2980" s="6" t="s">
        <v>16</v>
      </c>
      <c r="G2980" s="6" t="s">
        <v>17</v>
      </c>
      <c r="H2980" s="6" t="s">
        <v>32</v>
      </c>
      <c r="I2980" s="6" t="s">
        <v>33</v>
      </c>
      <c r="J2980" s="6" t="s">
        <v>34</v>
      </c>
      <c r="K2980" s="7">
        <v>43608</v>
      </c>
      <c r="L2980" s="8">
        <v>0.34375</v>
      </c>
      <c r="M2980" s="6" t="s">
        <v>3880</v>
      </c>
      <c r="N2980" s="14" t="s">
        <v>21</v>
      </c>
      <c r="O2980" s="6" t="s">
        <v>22</v>
      </c>
    </row>
    <row r="2981" spans="1:15" hidden="1">
      <c r="A2981" s="6" t="s">
        <v>15</v>
      </c>
      <c r="B2981" s="6" t="str">
        <f>"FES1162691327"</f>
        <v>FES1162691327</v>
      </c>
      <c r="C2981" s="7">
        <v>43607</v>
      </c>
      <c r="D2981" s="6">
        <v>1</v>
      </c>
      <c r="E2981" s="6">
        <v>2170688275</v>
      </c>
      <c r="F2981" s="6" t="s">
        <v>16</v>
      </c>
      <c r="G2981" s="6" t="s">
        <v>17</v>
      </c>
      <c r="H2981" s="6" t="s">
        <v>32</v>
      </c>
      <c r="I2981" s="6" t="s">
        <v>33</v>
      </c>
      <c r="J2981" s="6" t="s">
        <v>284</v>
      </c>
      <c r="K2981" s="7">
        <v>43608</v>
      </c>
      <c r="L2981" s="8">
        <v>0.36458333333333331</v>
      </c>
      <c r="M2981" s="6" t="s">
        <v>3965</v>
      </c>
      <c r="N2981" s="14" t="s">
        <v>21</v>
      </c>
      <c r="O2981" s="6" t="s">
        <v>22</v>
      </c>
    </row>
    <row r="2982" spans="1:15">
      <c r="A2982" s="17" t="s">
        <v>15</v>
      </c>
      <c r="B2982" s="17" t="str">
        <f>"FES1162691334"</f>
        <v>FES1162691334</v>
      </c>
      <c r="C2982" s="18">
        <v>43607</v>
      </c>
      <c r="D2982" s="17">
        <v>1</v>
      </c>
      <c r="E2982" s="17">
        <v>2170674384</v>
      </c>
      <c r="F2982" s="17" t="s">
        <v>16</v>
      </c>
      <c r="G2982" s="17" t="s">
        <v>17</v>
      </c>
      <c r="H2982" s="17" t="s">
        <v>17</v>
      </c>
      <c r="I2982" s="17" t="s">
        <v>103</v>
      </c>
      <c r="J2982" s="17" t="s">
        <v>2839</v>
      </c>
      <c r="K2982" s="18">
        <v>43608</v>
      </c>
      <c r="L2982" s="19">
        <v>0.36458333333333331</v>
      </c>
      <c r="M2982" s="17" t="s">
        <v>3862</v>
      </c>
      <c r="N2982" s="26" t="s">
        <v>21</v>
      </c>
      <c r="O2982" s="17" t="s">
        <v>3966</v>
      </c>
    </row>
    <row r="2983" spans="1:15" hidden="1">
      <c r="A2983" s="6" t="s">
        <v>15</v>
      </c>
      <c r="B2983" s="6" t="str">
        <f>"FES1162691381"</f>
        <v>FES1162691381</v>
      </c>
      <c r="C2983" s="7">
        <v>43607</v>
      </c>
      <c r="D2983" s="6">
        <v>1</v>
      </c>
      <c r="E2983" s="6">
        <v>2170689518</v>
      </c>
      <c r="F2983" s="6" t="s">
        <v>16</v>
      </c>
      <c r="G2983" s="6" t="s">
        <v>17</v>
      </c>
      <c r="H2983" s="6" t="s">
        <v>32</v>
      </c>
      <c r="I2983" s="6" t="s">
        <v>33</v>
      </c>
      <c r="J2983" s="6" t="s">
        <v>34</v>
      </c>
      <c r="K2983" s="7">
        <v>43608</v>
      </c>
      <c r="L2983" s="8">
        <v>0.34375</v>
      </c>
      <c r="M2983" s="6" t="s">
        <v>3880</v>
      </c>
      <c r="N2983" s="14" t="s">
        <v>21</v>
      </c>
      <c r="O2983" s="6" t="s">
        <v>22</v>
      </c>
    </row>
    <row r="2984" spans="1:15" hidden="1">
      <c r="A2984" s="6" t="s">
        <v>15</v>
      </c>
      <c r="B2984" s="6" t="str">
        <f>"FES1162691375"</f>
        <v>FES1162691375</v>
      </c>
      <c r="C2984" s="7">
        <v>43607</v>
      </c>
      <c r="D2984" s="6">
        <v>1</v>
      </c>
      <c r="E2984" s="6">
        <v>2170689762</v>
      </c>
      <c r="F2984" s="6" t="s">
        <v>16</v>
      </c>
      <c r="G2984" s="6" t="s">
        <v>17</v>
      </c>
      <c r="H2984" s="6" t="s">
        <v>32</v>
      </c>
      <c r="I2984" s="6" t="s">
        <v>33</v>
      </c>
      <c r="J2984" s="6" t="s">
        <v>3967</v>
      </c>
      <c r="K2984" s="7">
        <v>43608</v>
      </c>
      <c r="L2984" s="8">
        <v>0.39583333333333331</v>
      </c>
      <c r="M2984" s="6" t="s">
        <v>2077</v>
      </c>
      <c r="N2984" s="14" t="s">
        <v>21</v>
      </c>
      <c r="O2984" s="6" t="s">
        <v>22</v>
      </c>
    </row>
    <row r="2985" spans="1:15" hidden="1">
      <c r="A2985" s="6" t="s">
        <v>15</v>
      </c>
      <c r="B2985" s="6" t="str">
        <f>"FES1162691379"</f>
        <v>FES1162691379</v>
      </c>
      <c r="C2985" s="7">
        <v>43607</v>
      </c>
      <c r="D2985" s="6">
        <v>1</v>
      </c>
      <c r="E2985" s="6">
        <v>2170689769</v>
      </c>
      <c r="F2985" s="6" t="s">
        <v>16</v>
      </c>
      <c r="G2985" s="6" t="s">
        <v>17</v>
      </c>
      <c r="H2985" s="6" t="s">
        <v>32</v>
      </c>
      <c r="I2985" s="6" t="s">
        <v>33</v>
      </c>
      <c r="J2985" s="6" t="s">
        <v>34</v>
      </c>
      <c r="K2985" s="7">
        <v>43608</v>
      </c>
      <c r="L2985" s="8">
        <v>0.34375</v>
      </c>
      <c r="M2985" s="6" t="s">
        <v>3880</v>
      </c>
      <c r="N2985" s="14" t="s">
        <v>21</v>
      </c>
      <c r="O2985" s="6" t="s">
        <v>22</v>
      </c>
    </row>
    <row r="2986" spans="1:15" hidden="1">
      <c r="A2986" s="6" t="s">
        <v>15</v>
      </c>
      <c r="B2986" s="6" t="str">
        <f>"FES1162691384"</f>
        <v>FES1162691384</v>
      </c>
      <c r="C2986" s="7">
        <v>43607</v>
      </c>
      <c r="D2986" s="6">
        <v>1</v>
      </c>
      <c r="E2986" s="6">
        <v>2170687759</v>
      </c>
      <c r="F2986" s="6" t="s">
        <v>16</v>
      </c>
      <c r="G2986" s="6" t="s">
        <v>17</v>
      </c>
      <c r="H2986" s="6" t="s">
        <v>32</v>
      </c>
      <c r="I2986" s="6" t="s">
        <v>33</v>
      </c>
      <c r="J2986" s="6" t="s">
        <v>506</v>
      </c>
      <c r="K2986" s="7">
        <v>43608</v>
      </c>
      <c r="L2986" s="8">
        <v>0.33680555555555558</v>
      </c>
      <c r="M2986" s="6" t="s">
        <v>1142</v>
      </c>
      <c r="N2986" s="14" t="s">
        <v>21</v>
      </c>
      <c r="O2986" s="6" t="s">
        <v>22</v>
      </c>
    </row>
    <row r="2987" spans="1:15" hidden="1">
      <c r="A2987" s="6" t="s">
        <v>15</v>
      </c>
      <c r="B2987" s="6" t="str">
        <f>"FES1162691408"</f>
        <v>FES1162691408</v>
      </c>
      <c r="C2987" s="7">
        <v>43607</v>
      </c>
      <c r="D2987" s="6">
        <v>1</v>
      </c>
      <c r="E2987" s="6">
        <v>21706989793</v>
      </c>
      <c r="F2987" s="6" t="s">
        <v>16</v>
      </c>
      <c r="G2987" s="6" t="s">
        <v>17</v>
      </c>
      <c r="H2987" s="6" t="s">
        <v>141</v>
      </c>
      <c r="I2987" s="6" t="s">
        <v>185</v>
      </c>
      <c r="J2987" s="6" t="s">
        <v>3968</v>
      </c>
      <c r="K2987" s="7">
        <v>43608</v>
      </c>
      <c r="L2987" s="8">
        <v>0.41111111111111115</v>
      </c>
      <c r="M2987" s="6" t="s">
        <v>2417</v>
      </c>
      <c r="N2987" s="14" t="s">
        <v>21</v>
      </c>
      <c r="O2987" s="6" t="s">
        <v>22</v>
      </c>
    </row>
    <row r="2988" spans="1:15" hidden="1">
      <c r="A2988" s="6" t="s">
        <v>15</v>
      </c>
      <c r="B2988" s="6" t="str">
        <f>"FES1162691346"</f>
        <v>FES1162691346</v>
      </c>
      <c r="C2988" s="7">
        <v>43607</v>
      </c>
      <c r="D2988" s="6">
        <v>1</v>
      </c>
      <c r="E2988" s="6">
        <v>2170688165</v>
      </c>
      <c r="F2988" s="6" t="s">
        <v>16</v>
      </c>
      <c r="G2988" s="6" t="s">
        <v>17</v>
      </c>
      <c r="H2988" s="6" t="s">
        <v>43</v>
      </c>
      <c r="I2988" s="6" t="s">
        <v>60</v>
      </c>
      <c r="J2988" s="6" t="s">
        <v>409</v>
      </c>
      <c r="K2988" s="7">
        <v>43608</v>
      </c>
      <c r="L2988" s="8">
        <v>0.41111111111111115</v>
      </c>
      <c r="M2988" s="6" t="s">
        <v>3969</v>
      </c>
      <c r="N2988" s="14" t="s">
        <v>21</v>
      </c>
      <c r="O2988" s="6" t="s">
        <v>22</v>
      </c>
    </row>
    <row r="2989" spans="1:15" hidden="1">
      <c r="A2989" s="6" t="s">
        <v>15</v>
      </c>
      <c r="B2989" s="6" t="str">
        <f>"FES1162691324"</f>
        <v>FES1162691324</v>
      </c>
      <c r="C2989" s="7">
        <v>43607</v>
      </c>
      <c r="D2989" s="6">
        <v>1</v>
      </c>
      <c r="E2989" s="6">
        <v>2170689719</v>
      </c>
      <c r="F2989" s="6" t="s">
        <v>16</v>
      </c>
      <c r="G2989" s="6" t="s">
        <v>17</v>
      </c>
      <c r="H2989" s="6" t="s">
        <v>525</v>
      </c>
      <c r="I2989" s="6" t="s">
        <v>3779</v>
      </c>
      <c r="J2989" s="6" t="s">
        <v>3970</v>
      </c>
      <c r="K2989" s="7">
        <v>43608</v>
      </c>
      <c r="L2989" s="8">
        <v>0.40069444444444446</v>
      </c>
      <c r="M2989" s="6" t="s">
        <v>3971</v>
      </c>
      <c r="N2989" s="14" t="s">
        <v>21</v>
      </c>
      <c r="O2989" s="6" t="s">
        <v>22</v>
      </c>
    </row>
    <row r="2990" spans="1:15" hidden="1">
      <c r="A2990" s="6" t="s">
        <v>15</v>
      </c>
      <c r="B2990" s="6" t="str">
        <f>"FES1162691371"</f>
        <v>FES1162691371</v>
      </c>
      <c r="C2990" s="7">
        <v>43607</v>
      </c>
      <c r="D2990" s="6">
        <v>1</v>
      </c>
      <c r="E2990" s="6">
        <v>217068761</v>
      </c>
      <c r="F2990" s="6" t="s">
        <v>16</v>
      </c>
      <c r="G2990" s="6" t="s">
        <v>17</v>
      </c>
      <c r="H2990" s="6" t="s">
        <v>43</v>
      </c>
      <c r="I2990" s="6" t="s">
        <v>44</v>
      </c>
      <c r="J2990" s="6" t="s">
        <v>986</v>
      </c>
      <c r="K2990" s="7">
        <v>43608</v>
      </c>
      <c r="L2990" s="8">
        <v>0.46458333333333335</v>
      </c>
      <c r="M2990" s="6" t="s">
        <v>784</v>
      </c>
      <c r="N2990" s="14" t="s">
        <v>21</v>
      </c>
      <c r="O2990" s="6" t="s">
        <v>22</v>
      </c>
    </row>
    <row r="2991" spans="1:15" hidden="1">
      <c r="A2991" s="6" t="s">
        <v>15</v>
      </c>
      <c r="B2991" s="6" t="str">
        <f>"FES1162691342"</f>
        <v>FES1162691342</v>
      </c>
      <c r="C2991" s="7">
        <v>43607</v>
      </c>
      <c r="D2991" s="6">
        <v>1</v>
      </c>
      <c r="E2991" s="6">
        <v>2170688447</v>
      </c>
      <c r="F2991" s="6" t="s">
        <v>16</v>
      </c>
      <c r="G2991" s="6" t="s">
        <v>17</v>
      </c>
      <c r="H2991" s="6" t="s">
        <v>43</v>
      </c>
      <c r="I2991" s="6" t="s">
        <v>44</v>
      </c>
      <c r="J2991" s="6" t="s">
        <v>938</v>
      </c>
      <c r="K2991" s="7">
        <v>43608</v>
      </c>
      <c r="L2991" s="8">
        <v>0.34166666666666662</v>
      </c>
      <c r="M2991" s="6" t="s">
        <v>939</v>
      </c>
      <c r="N2991" s="14" t="s">
        <v>21</v>
      </c>
      <c r="O2991" s="6" t="s">
        <v>22</v>
      </c>
    </row>
    <row r="2992" spans="1:15" hidden="1">
      <c r="A2992" s="6" t="s">
        <v>15</v>
      </c>
      <c r="B2992" s="6" t="str">
        <f>"FES1162691367"</f>
        <v>FES1162691367</v>
      </c>
      <c r="C2992" s="7">
        <v>43607</v>
      </c>
      <c r="D2992" s="6">
        <v>1</v>
      </c>
      <c r="E2992" s="6">
        <v>2170689756</v>
      </c>
      <c r="F2992" s="6" t="s">
        <v>16</v>
      </c>
      <c r="G2992" s="6" t="s">
        <v>17</v>
      </c>
      <c r="H2992" s="6" t="s">
        <v>132</v>
      </c>
      <c r="I2992" s="6" t="s">
        <v>133</v>
      </c>
      <c r="J2992" s="6" t="s">
        <v>846</v>
      </c>
      <c r="K2992" s="7">
        <v>43608</v>
      </c>
      <c r="L2992" s="8">
        <v>0.4236111111111111</v>
      </c>
      <c r="M2992" s="6" t="s">
        <v>847</v>
      </c>
      <c r="N2992" s="14" t="s">
        <v>21</v>
      </c>
      <c r="O2992" s="6" t="s">
        <v>22</v>
      </c>
    </row>
    <row r="2993" spans="1:15" hidden="1">
      <c r="A2993" s="6" t="s">
        <v>15</v>
      </c>
      <c r="B2993" s="6" t="str">
        <f>"FES1162691252"</f>
        <v>FES1162691252</v>
      </c>
      <c r="C2993" s="7">
        <v>43607</v>
      </c>
      <c r="D2993" s="6">
        <v>1</v>
      </c>
      <c r="E2993" s="6">
        <v>2170689629</v>
      </c>
      <c r="F2993" s="6" t="s">
        <v>16</v>
      </c>
      <c r="G2993" s="6" t="s">
        <v>17</v>
      </c>
      <c r="H2993" s="6" t="s">
        <v>141</v>
      </c>
      <c r="I2993" s="6" t="s">
        <v>142</v>
      </c>
      <c r="J2993" s="6" t="s">
        <v>3937</v>
      </c>
      <c r="K2993" s="7">
        <v>43608</v>
      </c>
      <c r="L2993" s="8">
        <v>0.3979166666666667</v>
      </c>
      <c r="M2993" s="6" t="s">
        <v>3938</v>
      </c>
      <c r="N2993" s="14" t="s">
        <v>21</v>
      </c>
      <c r="O2993" s="6" t="s">
        <v>22</v>
      </c>
    </row>
    <row r="2994" spans="1:15" hidden="1">
      <c r="A2994" s="6" t="s">
        <v>15</v>
      </c>
      <c r="B2994" s="6" t="str">
        <f>"FES1162691271"</f>
        <v>FES1162691271</v>
      </c>
      <c r="C2994" s="7">
        <v>43607</v>
      </c>
      <c r="D2994" s="6">
        <v>1</v>
      </c>
      <c r="E2994" s="6">
        <v>2170689648</v>
      </c>
      <c r="F2994" s="6" t="s">
        <v>16</v>
      </c>
      <c r="G2994" s="6" t="s">
        <v>17</v>
      </c>
      <c r="H2994" s="6" t="s">
        <v>141</v>
      </c>
      <c r="I2994" s="6" t="s">
        <v>142</v>
      </c>
      <c r="J2994" s="6" t="s">
        <v>143</v>
      </c>
      <c r="K2994" s="7">
        <v>43608</v>
      </c>
      <c r="L2994" s="8">
        <v>0.31666666666666665</v>
      </c>
      <c r="M2994" s="6" t="s">
        <v>3483</v>
      </c>
      <c r="N2994" s="14" t="s">
        <v>21</v>
      </c>
      <c r="O2994" s="6" t="s">
        <v>22</v>
      </c>
    </row>
    <row r="2995" spans="1:15" hidden="1">
      <c r="A2995" s="6" t="s">
        <v>15</v>
      </c>
      <c r="B2995" s="6" t="str">
        <f>"FES1162691405"</f>
        <v>FES1162691405</v>
      </c>
      <c r="C2995" s="7">
        <v>43607</v>
      </c>
      <c r="D2995" s="6">
        <v>1</v>
      </c>
      <c r="E2995" s="6">
        <v>2170688412</v>
      </c>
      <c r="F2995" s="6" t="s">
        <v>16</v>
      </c>
      <c r="G2995" s="6" t="s">
        <v>17</v>
      </c>
      <c r="H2995" s="6" t="s">
        <v>37</v>
      </c>
      <c r="I2995" s="6" t="s">
        <v>3160</v>
      </c>
      <c r="J2995" s="6" t="s">
        <v>2051</v>
      </c>
      <c r="K2995" s="7">
        <v>43608</v>
      </c>
      <c r="L2995" s="8">
        <v>0.41666666666666669</v>
      </c>
      <c r="M2995" s="6" t="s">
        <v>3972</v>
      </c>
      <c r="N2995" s="14" t="s">
        <v>21</v>
      </c>
      <c r="O2995" s="6" t="s">
        <v>22</v>
      </c>
    </row>
    <row r="2996" spans="1:15" hidden="1">
      <c r="A2996" s="6" t="s">
        <v>15</v>
      </c>
      <c r="B2996" s="6" t="str">
        <f>"FES1162691396"</f>
        <v>FES1162691396</v>
      </c>
      <c r="C2996" s="7">
        <v>43607</v>
      </c>
      <c r="D2996" s="6">
        <v>1</v>
      </c>
      <c r="E2996" s="6">
        <v>2170689779</v>
      </c>
      <c r="F2996" s="6" t="s">
        <v>16</v>
      </c>
      <c r="G2996" s="6" t="s">
        <v>17</v>
      </c>
      <c r="H2996" s="6" t="s">
        <v>141</v>
      </c>
      <c r="I2996" s="6" t="s">
        <v>142</v>
      </c>
      <c r="J2996" s="6" t="s">
        <v>3973</v>
      </c>
      <c r="K2996" s="7">
        <v>43608</v>
      </c>
      <c r="L2996" s="8">
        <v>0.32500000000000001</v>
      </c>
      <c r="M2996" s="6" t="s">
        <v>3974</v>
      </c>
      <c r="N2996" s="14" t="s">
        <v>21</v>
      </c>
      <c r="O2996" s="6" t="s">
        <v>22</v>
      </c>
    </row>
    <row r="2997" spans="1:15" hidden="1">
      <c r="A2997" s="6" t="s">
        <v>15</v>
      </c>
      <c r="B2997" s="6" t="str">
        <f>"FES1162691387"</f>
        <v>FES1162691387</v>
      </c>
      <c r="C2997" s="7">
        <v>43607</v>
      </c>
      <c r="D2997" s="6">
        <v>1</v>
      </c>
      <c r="E2997" s="6">
        <v>2170689386</v>
      </c>
      <c r="F2997" s="6" t="s">
        <v>16</v>
      </c>
      <c r="G2997" s="6" t="s">
        <v>17</v>
      </c>
      <c r="H2997" s="6" t="s">
        <v>43</v>
      </c>
      <c r="I2997" s="6" t="s">
        <v>75</v>
      </c>
      <c r="J2997" s="6" t="s">
        <v>222</v>
      </c>
      <c r="K2997" s="7">
        <v>43608</v>
      </c>
      <c r="L2997" s="8">
        <v>0.44513888888888892</v>
      </c>
      <c r="M2997" s="6" t="s">
        <v>223</v>
      </c>
      <c r="N2997" s="14" t="s">
        <v>21</v>
      </c>
      <c r="O2997" s="6" t="s">
        <v>22</v>
      </c>
    </row>
    <row r="2998" spans="1:15" hidden="1">
      <c r="A2998" s="6" t="s">
        <v>15</v>
      </c>
      <c r="B2998" s="6" t="str">
        <f>"FES1162691392"</f>
        <v>FES1162691392</v>
      </c>
      <c r="C2998" s="7">
        <v>43607</v>
      </c>
      <c r="D2998" s="6">
        <v>1</v>
      </c>
      <c r="E2998" s="6">
        <v>2170688500</v>
      </c>
      <c r="F2998" s="6" t="s">
        <v>16</v>
      </c>
      <c r="G2998" s="6" t="s">
        <v>17</v>
      </c>
      <c r="H2998" s="6" t="s">
        <v>440</v>
      </c>
      <c r="I2998" s="6" t="s">
        <v>441</v>
      </c>
      <c r="J2998" s="6" t="s">
        <v>317</v>
      </c>
      <c r="K2998" s="7">
        <v>43608</v>
      </c>
      <c r="L2998" s="8">
        <v>0.39583333333333331</v>
      </c>
      <c r="M2998" s="6" t="s">
        <v>3727</v>
      </c>
      <c r="N2998" s="14" t="s">
        <v>21</v>
      </c>
      <c r="O2998" s="6" t="s">
        <v>22</v>
      </c>
    </row>
    <row r="2999" spans="1:15">
      <c r="A2999" s="6" t="s">
        <v>15</v>
      </c>
      <c r="B2999" s="6" t="str">
        <f>"FES1162691360"</f>
        <v>FES1162691360</v>
      </c>
      <c r="C2999" s="7">
        <v>43607</v>
      </c>
      <c r="D2999" s="6">
        <v>1</v>
      </c>
      <c r="E2999" s="6">
        <v>2170689746</v>
      </c>
      <c r="F2999" s="6" t="s">
        <v>16</v>
      </c>
      <c r="G2999" s="6" t="s">
        <v>17</v>
      </c>
      <c r="H2999" s="6" t="s">
        <v>17</v>
      </c>
      <c r="I2999" s="6" t="s">
        <v>610</v>
      </c>
      <c r="J2999" s="6" t="s">
        <v>611</v>
      </c>
      <c r="K2999" s="7">
        <v>43608</v>
      </c>
      <c r="L2999" s="8">
        <v>0.41180555555555554</v>
      </c>
      <c r="M2999" s="6" t="s">
        <v>3801</v>
      </c>
      <c r="N2999" s="14" t="s">
        <v>21</v>
      </c>
      <c r="O2999" s="6" t="s">
        <v>22</v>
      </c>
    </row>
    <row r="3000" spans="1:15" hidden="1">
      <c r="A3000" s="6" t="s">
        <v>15</v>
      </c>
      <c r="B3000" s="6" t="str">
        <f>"FES1162691400"</f>
        <v>FES1162691400</v>
      </c>
      <c r="C3000" s="7">
        <v>43607</v>
      </c>
      <c r="D3000" s="6">
        <v>1</v>
      </c>
      <c r="E3000" s="6">
        <v>2170689782</v>
      </c>
      <c r="F3000" s="6" t="s">
        <v>16</v>
      </c>
      <c r="G3000" s="6" t="s">
        <v>17</v>
      </c>
      <c r="H3000" s="6" t="s">
        <v>141</v>
      </c>
      <c r="I3000" s="6" t="s">
        <v>448</v>
      </c>
      <c r="J3000" s="6" t="s">
        <v>979</v>
      </c>
      <c r="K3000" s="7">
        <v>43608</v>
      </c>
      <c r="L3000" s="8">
        <v>0.37916666666666665</v>
      </c>
      <c r="M3000" s="6" t="s">
        <v>2395</v>
      </c>
      <c r="N3000" s="14" t="s">
        <v>21</v>
      </c>
      <c r="O3000" s="6" t="s">
        <v>22</v>
      </c>
    </row>
    <row r="3001" spans="1:15">
      <c r="A3001" s="6" t="s">
        <v>15</v>
      </c>
      <c r="B3001" s="6" t="str">
        <f>"FES1162691366"</f>
        <v>FES1162691366</v>
      </c>
      <c r="C3001" s="7">
        <v>43607</v>
      </c>
      <c r="D3001" s="6">
        <v>1</v>
      </c>
      <c r="E3001" s="6">
        <v>2170689755</v>
      </c>
      <c r="F3001" s="6" t="s">
        <v>16</v>
      </c>
      <c r="G3001" s="6" t="s">
        <v>17</v>
      </c>
      <c r="H3001" s="6" t="s">
        <v>17</v>
      </c>
      <c r="I3001" s="6" t="s">
        <v>18</v>
      </c>
      <c r="J3001" s="6" t="s">
        <v>3975</v>
      </c>
      <c r="K3001" s="7">
        <v>43608</v>
      </c>
      <c r="L3001" s="8">
        <v>0.4465277777777778</v>
      </c>
      <c r="M3001" s="6" t="s">
        <v>481</v>
      </c>
      <c r="N3001" s="14" t="s">
        <v>21</v>
      </c>
      <c r="O3001" s="6" t="s">
        <v>22</v>
      </c>
    </row>
    <row r="3002" spans="1:15" hidden="1">
      <c r="A3002" s="6" t="s">
        <v>15</v>
      </c>
      <c r="B3002" s="6" t="str">
        <f>"FES1162691374"</f>
        <v>FES1162691374</v>
      </c>
      <c r="C3002" s="7">
        <v>43607</v>
      </c>
      <c r="D3002" s="6">
        <v>1</v>
      </c>
      <c r="E3002" s="6">
        <v>2170689127</v>
      </c>
      <c r="F3002" s="6" t="s">
        <v>16</v>
      </c>
      <c r="G3002" s="6" t="s">
        <v>17</v>
      </c>
      <c r="H3002" s="6" t="s">
        <v>2611</v>
      </c>
      <c r="I3002" s="6" t="s">
        <v>3976</v>
      </c>
      <c r="J3002" s="6" t="s">
        <v>3977</v>
      </c>
      <c r="K3002" s="7">
        <v>43608</v>
      </c>
      <c r="L3002" s="8">
        <v>0.43611111111111112</v>
      </c>
      <c r="M3002" s="6" t="s">
        <v>3544</v>
      </c>
      <c r="N3002" s="14" t="s">
        <v>21</v>
      </c>
      <c r="O3002" s="6" t="s">
        <v>22</v>
      </c>
    </row>
    <row r="3003" spans="1:15">
      <c r="A3003" s="6" t="s">
        <v>15</v>
      </c>
      <c r="B3003" s="6" t="str">
        <f>"FES1162691337"</f>
        <v>FES1162691337</v>
      </c>
      <c r="C3003" s="7">
        <v>43607</v>
      </c>
      <c r="D3003" s="6">
        <v>1</v>
      </c>
      <c r="E3003" s="6">
        <v>2170689724</v>
      </c>
      <c r="F3003" s="6" t="s">
        <v>16</v>
      </c>
      <c r="G3003" s="6" t="s">
        <v>17</v>
      </c>
      <c r="H3003" s="6" t="s">
        <v>17</v>
      </c>
      <c r="I3003" s="6" t="s">
        <v>18</v>
      </c>
      <c r="J3003" s="6" t="s">
        <v>19</v>
      </c>
      <c r="K3003" s="7">
        <v>43608</v>
      </c>
      <c r="L3003" s="8">
        <v>0.41875000000000001</v>
      </c>
      <c r="M3003" s="6" t="s">
        <v>325</v>
      </c>
      <c r="N3003" s="14" t="s">
        <v>21</v>
      </c>
      <c r="O3003" s="6" t="s">
        <v>22</v>
      </c>
    </row>
    <row r="3004" spans="1:15" hidden="1">
      <c r="A3004" s="6" t="s">
        <v>15</v>
      </c>
      <c r="B3004" s="6" t="str">
        <f>"FES1162691406"</f>
        <v>FES1162691406</v>
      </c>
      <c r="C3004" s="7">
        <v>43607</v>
      </c>
      <c r="D3004" s="6">
        <v>1</v>
      </c>
      <c r="E3004" s="6">
        <v>2170689791</v>
      </c>
      <c r="F3004" s="6" t="s">
        <v>16</v>
      </c>
      <c r="G3004" s="6" t="s">
        <v>17</v>
      </c>
      <c r="H3004" s="6" t="s">
        <v>141</v>
      </c>
      <c r="I3004" s="6" t="s">
        <v>142</v>
      </c>
      <c r="J3004" s="6" t="s">
        <v>3978</v>
      </c>
      <c r="K3004" s="7">
        <v>43608</v>
      </c>
      <c r="L3004" s="8">
        <v>0.4375</v>
      </c>
      <c r="M3004" s="6" t="s">
        <v>3979</v>
      </c>
      <c r="N3004" s="14" t="s">
        <v>21</v>
      </c>
      <c r="O3004" s="6" t="s">
        <v>22</v>
      </c>
    </row>
    <row r="3005" spans="1:15" hidden="1">
      <c r="A3005" s="6" t="s">
        <v>15</v>
      </c>
      <c r="B3005" s="6" t="str">
        <f>"FES1162691420"</f>
        <v>FES1162691420</v>
      </c>
      <c r="C3005" s="7">
        <v>43607</v>
      </c>
      <c r="D3005" s="6">
        <v>1</v>
      </c>
      <c r="E3005" s="6">
        <v>2170689797</v>
      </c>
      <c r="F3005" s="6" t="s">
        <v>16</v>
      </c>
      <c r="G3005" s="6" t="s">
        <v>17</v>
      </c>
      <c r="H3005" s="6" t="s">
        <v>290</v>
      </c>
      <c r="I3005" s="6" t="s">
        <v>291</v>
      </c>
      <c r="J3005" s="6" t="s">
        <v>1030</v>
      </c>
      <c r="K3005" s="7">
        <v>43608</v>
      </c>
      <c r="L3005" s="8">
        <v>0.35416666666666669</v>
      </c>
      <c r="M3005" s="6" t="s">
        <v>645</v>
      </c>
      <c r="N3005" s="14" t="s">
        <v>21</v>
      </c>
      <c r="O3005" s="6" t="s">
        <v>22</v>
      </c>
    </row>
    <row r="3006" spans="1:15" hidden="1">
      <c r="A3006" s="6" t="s">
        <v>15</v>
      </c>
      <c r="B3006" s="6" t="str">
        <f>"FES1162691343"</f>
        <v>FES1162691343</v>
      </c>
      <c r="C3006" s="7">
        <v>43607</v>
      </c>
      <c r="D3006" s="6">
        <v>1</v>
      </c>
      <c r="E3006" s="6">
        <v>2170689730</v>
      </c>
      <c r="F3006" s="6" t="s">
        <v>16</v>
      </c>
      <c r="G3006" s="6" t="s">
        <v>17</v>
      </c>
      <c r="H3006" s="6" t="s">
        <v>32</v>
      </c>
      <c r="I3006" s="6" t="s">
        <v>33</v>
      </c>
      <c r="J3006" s="6" t="s">
        <v>360</v>
      </c>
      <c r="K3006" s="7">
        <v>43608</v>
      </c>
      <c r="L3006" s="8">
        <v>0.36805555555555558</v>
      </c>
      <c r="M3006" s="6" t="s">
        <v>3923</v>
      </c>
      <c r="N3006" s="14" t="s">
        <v>21</v>
      </c>
      <c r="O3006" s="6" t="s">
        <v>22</v>
      </c>
    </row>
    <row r="3007" spans="1:15" hidden="1">
      <c r="A3007" s="6" t="s">
        <v>15</v>
      </c>
      <c r="B3007" s="6" t="str">
        <f>"FES1162691419"</f>
        <v>FES1162691419</v>
      </c>
      <c r="C3007" s="7">
        <v>43607</v>
      </c>
      <c r="D3007" s="6">
        <v>1</v>
      </c>
      <c r="E3007" s="6">
        <v>2170689796</v>
      </c>
      <c r="F3007" s="6" t="s">
        <v>16</v>
      </c>
      <c r="G3007" s="6" t="s">
        <v>17</v>
      </c>
      <c r="H3007" s="6" t="s">
        <v>141</v>
      </c>
      <c r="I3007" s="6" t="s">
        <v>185</v>
      </c>
      <c r="J3007" s="6" t="s">
        <v>1116</v>
      </c>
      <c r="K3007" s="7">
        <v>43608</v>
      </c>
      <c r="L3007" s="8">
        <v>0.4055555555555555</v>
      </c>
      <c r="M3007" s="6" t="s">
        <v>3980</v>
      </c>
      <c r="N3007" s="14" t="s">
        <v>21</v>
      </c>
      <c r="O3007" s="6" t="s">
        <v>22</v>
      </c>
    </row>
    <row r="3008" spans="1:15">
      <c r="A3008" s="17" t="s">
        <v>15</v>
      </c>
      <c r="B3008" s="17" t="str">
        <f>"FES1162691349"</f>
        <v>FES1162691349</v>
      </c>
      <c r="C3008" s="18">
        <v>43607</v>
      </c>
      <c r="D3008" s="17">
        <v>1</v>
      </c>
      <c r="E3008" s="17">
        <v>2170689736</v>
      </c>
      <c r="F3008" s="17" t="s">
        <v>16</v>
      </c>
      <c r="G3008" s="17" t="s">
        <v>17</v>
      </c>
      <c r="H3008" s="17" t="s">
        <v>17</v>
      </c>
      <c r="I3008" s="17" t="s">
        <v>64</v>
      </c>
      <c r="J3008" s="17" t="s">
        <v>1628</v>
      </c>
      <c r="K3008" s="18">
        <v>43608</v>
      </c>
      <c r="L3008" s="19">
        <v>0.4055555555555555</v>
      </c>
      <c r="M3008" s="17" t="s">
        <v>3981</v>
      </c>
      <c r="N3008" s="26" t="s">
        <v>21</v>
      </c>
      <c r="O3008" s="17" t="s">
        <v>22</v>
      </c>
    </row>
    <row r="3009" spans="1:15">
      <c r="A3009" s="6" t="s">
        <v>15</v>
      </c>
      <c r="B3009" s="6" t="str">
        <f>"FES1162691401"</f>
        <v>FES1162691401</v>
      </c>
      <c r="C3009" s="7">
        <v>43607</v>
      </c>
      <c r="D3009" s="6">
        <v>1</v>
      </c>
      <c r="E3009" s="6">
        <v>2170689784</v>
      </c>
      <c r="F3009" s="6" t="s">
        <v>16</v>
      </c>
      <c r="G3009" s="6" t="s">
        <v>17</v>
      </c>
      <c r="H3009" s="6" t="s">
        <v>17</v>
      </c>
      <c r="I3009" s="6" t="s">
        <v>148</v>
      </c>
      <c r="J3009" s="6" t="s">
        <v>419</v>
      </c>
      <c r="K3009" s="7">
        <v>43608</v>
      </c>
      <c r="L3009" s="8">
        <v>0.42777777777777781</v>
      </c>
      <c r="M3009" s="6" t="s">
        <v>996</v>
      </c>
      <c r="N3009" s="14" t="s">
        <v>21</v>
      </c>
      <c r="O3009" s="6" t="s">
        <v>22</v>
      </c>
    </row>
    <row r="3010" spans="1:15" hidden="1">
      <c r="A3010" s="6" t="s">
        <v>15</v>
      </c>
      <c r="B3010" s="6" t="str">
        <f>"FES1162691407"</f>
        <v>FES1162691407</v>
      </c>
      <c r="C3010" s="7">
        <v>43607</v>
      </c>
      <c r="D3010" s="6">
        <v>1</v>
      </c>
      <c r="E3010" s="6">
        <v>2170689792</v>
      </c>
      <c r="F3010" s="6" t="s">
        <v>16</v>
      </c>
      <c r="G3010" s="6" t="s">
        <v>17</v>
      </c>
      <c r="H3010" s="6" t="s">
        <v>290</v>
      </c>
      <c r="I3010" s="6" t="s">
        <v>291</v>
      </c>
      <c r="J3010" s="6" t="s">
        <v>817</v>
      </c>
      <c r="K3010" s="7">
        <v>43608</v>
      </c>
      <c r="L3010" s="8">
        <v>0.42083333333333334</v>
      </c>
      <c r="M3010" s="6" t="s">
        <v>56</v>
      </c>
      <c r="N3010" s="14" t="s">
        <v>21</v>
      </c>
      <c r="O3010" s="6" t="s">
        <v>22</v>
      </c>
    </row>
    <row r="3011" spans="1:15">
      <c r="A3011" s="6" t="s">
        <v>15</v>
      </c>
      <c r="B3011" s="6" t="str">
        <f>"FES1162691404"</f>
        <v>FES1162691404</v>
      </c>
      <c r="C3011" s="7">
        <v>43607</v>
      </c>
      <c r="D3011" s="6">
        <v>1</v>
      </c>
      <c r="E3011" s="6">
        <v>2170689788</v>
      </c>
      <c r="F3011" s="6" t="s">
        <v>16</v>
      </c>
      <c r="G3011" s="6" t="s">
        <v>17</v>
      </c>
      <c r="H3011" s="6" t="s">
        <v>17</v>
      </c>
      <c r="I3011" s="6" t="s">
        <v>103</v>
      </c>
      <c r="J3011" s="6" t="s">
        <v>3982</v>
      </c>
      <c r="K3011" s="7">
        <v>43608</v>
      </c>
      <c r="L3011" s="8">
        <v>0.41319444444444442</v>
      </c>
      <c r="M3011" s="6" t="s">
        <v>3906</v>
      </c>
      <c r="N3011" s="14" t="s">
        <v>21</v>
      </c>
      <c r="O3011" s="6" t="s">
        <v>22</v>
      </c>
    </row>
    <row r="3012" spans="1:15" hidden="1">
      <c r="A3012" s="6" t="s">
        <v>15</v>
      </c>
      <c r="B3012" s="6" t="str">
        <f>"FES1162691422"</f>
        <v>FES1162691422</v>
      </c>
      <c r="C3012" s="7">
        <v>43607</v>
      </c>
      <c r="D3012" s="6">
        <v>1</v>
      </c>
      <c r="E3012" s="6">
        <v>2170689799</v>
      </c>
      <c r="F3012" s="6" t="s">
        <v>16</v>
      </c>
      <c r="G3012" s="6" t="s">
        <v>17</v>
      </c>
      <c r="H3012" s="6" t="s">
        <v>32</v>
      </c>
      <c r="I3012" s="6" t="s">
        <v>33</v>
      </c>
      <c r="J3012" s="6" t="s">
        <v>778</v>
      </c>
      <c r="K3012" s="7">
        <v>43608</v>
      </c>
      <c r="L3012" s="8">
        <v>0.3923611111111111</v>
      </c>
      <c r="M3012" s="6" t="s">
        <v>779</v>
      </c>
      <c r="N3012" s="14" t="s">
        <v>21</v>
      </c>
      <c r="O3012" s="6" t="s">
        <v>22</v>
      </c>
    </row>
    <row r="3013" spans="1:15" hidden="1">
      <c r="A3013" s="6" t="s">
        <v>15</v>
      </c>
      <c r="B3013" s="6" t="str">
        <f>"FES1162691182"</f>
        <v>FES1162691182</v>
      </c>
      <c r="C3013" s="7">
        <v>43607</v>
      </c>
      <c r="D3013" s="6">
        <v>1</v>
      </c>
      <c r="E3013" s="6">
        <v>2170689594</v>
      </c>
      <c r="F3013" s="6" t="s">
        <v>16</v>
      </c>
      <c r="G3013" s="6" t="s">
        <v>17</v>
      </c>
      <c r="H3013" s="6" t="s">
        <v>32</v>
      </c>
      <c r="I3013" s="6" t="s">
        <v>33</v>
      </c>
      <c r="J3013" s="6" t="s">
        <v>3983</v>
      </c>
      <c r="K3013" s="7">
        <v>43608</v>
      </c>
      <c r="L3013" s="8">
        <v>0.3576388888888889</v>
      </c>
      <c r="M3013" s="6" t="s">
        <v>3984</v>
      </c>
      <c r="N3013" s="14" t="s">
        <v>21</v>
      </c>
      <c r="O3013" s="6" t="s">
        <v>22</v>
      </c>
    </row>
    <row r="3014" spans="1:15" hidden="1">
      <c r="A3014" s="6" t="s">
        <v>15</v>
      </c>
      <c r="B3014" s="6" t="str">
        <f>"FES1162691428"</f>
        <v>FES1162691428</v>
      </c>
      <c r="C3014" s="7">
        <v>43607</v>
      </c>
      <c r="D3014" s="6">
        <v>1</v>
      </c>
      <c r="E3014" s="6">
        <v>2170689355</v>
      </c>
      <c r="F3014" s="6" t="s">
        <v>16</v>
      </c>
      <c r="G3014" s="6" t="s">
        <v>17</v>
      </c>
      <c r="H3014" s="6" t="s">
        <v>32</v>
      </c>
      <c r="I3014" s="6" t="s">
        <v>269</v>
      </c>
      <c r="J3014" s="6" t="s">
        <v>683</v>
      </c>
      <c r="K3014" s="7">
        <v>43608</v>
      </c>
      <c r="L3014" s="8">
        <v>0.36805555555555558</v>
      </c>
      <c r="M3014" s="6" t="s">
        <v>684</v>
      </c>
      <c r="N3014" s="14" t="s">
        <v>21</v>
      </c>
      <c r="O3014" s="6" t="s">
        <v>22</v>
      </c>
    </row>
    <row r="3015" spans="1:15" hidden="1">
      <c r="A3015" s="6" t="s">
        <v>15</v>
      </c>
      <c r="B3015" s="6" t="str">
        <f>"FES1162691410"</f>
        <v>FES1162691410</v>
      </c>
      <c r="C3015" s="7">
        <v>43607</v>
      </c>
      <c r="D3015" s="6">
        <v>1</v>
      </c>
      <c r="E3015" s="6">
        <v>2170684815</v>
      </c>
      <c r="F3015" s="6" t="s">
        <v>58</v>
      </c>
      <c r="G3015" s="6" t="s">
        <v>59</v>
      </c>
      <c r="H3015" s="6" t="s">
        <v>141</v>
      </c>
      <c r="I3015" s="6" t="s">
        <v>448</v>
      </c>
      <c r="J3015" s="6" t="s">
        <v>449</v>
      </c>
      <c r="K3015" s="7">
        <v>43608</v>
      </c>
      <c r="L3015" s="8">
        <v>0.59652777777777777</v>
      </c>
      <c r="M3015" s="6" t="s">
        <v>3985</v>
      </c>
      <c r="N3015" s="14" t="s">
        <v>21</v>
      </c>
      <c r="O3015" s="6" t="s">
        <v>22</v>
      </c>
    </row>
    <row r="3016" spans="1:15" hidden="1">
      <c r="A3016" s="6" t="s">
        <v>15</v>
      </c>
      <c r="B3016" s="6" t="str">
        <f>"FES1162691413"</f>
        <v>FES1162691413</v>
      </c>
      <c r="C3016" s="7">
        <v>43607</v>
      </c>
      <c r="D3016" s="6">
        <v>1</v>
      </c>
      <c r="E3016" s="6">
        <v>2170685863</v>
      </c>
      <c r="F3016" s="6" t="s">
        <v>58</v>
      </c>
      <c r="G3016" s="6" t="s">
        <v>59</v>
      </c>
      <c r="H3016" s="6" t="s">
        <v>43</v>
      </c>
      <c r="I3016" s="6" t="s">
        <v>75</v>
      </c>
      <c r="J3016" s="6" t="s">
        <v>811</v>
      </c>
      <c r="K3016" s="7">
        <v>43608</v>
      </c>
      <c r="L3016" s="8">
        <v>0.45</v>
      </c>
      <c r="M3016" s="6" t="s">
        <v>1167</v>
      </c>
      <c r="N3016" s="14" t="s">
        <v>21</v>
      </c>
      <c r="O3016" s="6" t="s">
        <v>22</v>
      </c>
    </row>
    <row r="3017" spans="1:15" hidden="1">
      <c r="A3017" s="6" t="s">
        <v>15</v>
      </c>
      <c r="B3017" s="6" t="str">
        <f>"FES1162691414"</f>
        <v>FES1162691414</v>
      </c>
      <c r="C3017" s="7">
        <v>43607</v>
      </c>
      <c r="D3017" s="6">
        <v>1</v>
      </c>
      <c r="E3017" s="6">
        <v>2170685878</v>
      </c>
      <c r="F3017" s="6" t="s">
        <v>16</v>
      </c>
      <c r="G3017" s="6" t="s">
        <v>17</v>
      </c>
      <c r="H3017" s="6" t="s">
        <v>141</v>
      </c>
      <c r="I3017" s="6" t="s">
        <v>185</v>
      </c>
      <c r="J3017" s="6" t="s">
        <v>503</v>
      </c>
      <c r="K3017" s="7">
        <v>43608</v>
      </c>
      <c r="L3017" s="8">
        <v>0.42638888888888887</v>
      </c>
      <c r="M3017" s="6" t="s">
        <v>3986</v>
      </c>
      <c r="N3017" s="14" t="s">
        <v>21</v>
      </c>
      <c r="O3017" s="6" t="s">
        <v>22</v>
      </c>
    </row>
    <row r="3018" spans="1:15" hidden="1">
      <c r="A3018" s="6" t="s">
        <v>15</v>
      </c>
      <c r="B3018" s="6" t="str">
        <f>"FES1162691284"</f>
        <v>FES1162691284</v>
      </c>
      <c r="C3018" s="7">
        <v>43607</v>
      </c>
      <c r="D3018" s="6">
        <v>1</v>
      </c>
      <c r="E3018" s="6">
        <v>2170689663</v>
      </c>
      <c r="F3018" s="6" t="s">
        <v>16</v>
      </c>
      <c r="G3018" s="6" t="s">
        <v>17</v>
      </c>
      <c r="H3018" s="6" t="s">
        <v>322</v>
      </c>
      <c r="I3018" s="6" t="s">
        <v>618</v>
      </c>
      <c r="J3018" s="6" t="s">
        <v>619</v>
      </c>
      <c r="K3018" s="7">
        <v>43608</v>
      </c>
      <c r="L3018" s="8">
        <v>0.41666666666666669</v>
      </c>
      <c r="M3018" s="6" t="s">
        <v>620</v>
      </c>
      <c r="N3018" s="14" t="s">
        <v>21</v>
      </c>
      <c r="O3018" s="6" t="s">
        <v>22</v>
      </c>
    </row>
    <row r="3019" spans="1:15" hidden="1">
      <c r="A3019" s="6" t="s">
        <v>15</v>
      </c>
      <c r="B3019" s="6" t="str">
        <f>"FES1162691411"</f>
        <v>FES1162691411</v>
      </c>
      <c r="C3019" s="7">
        <v>43607</v>
      </c>
      <c r="D3019" s="6">
        <v>1</v>
      </c>
      <c r="E3019" s="6">
        <v>2170685511</v>
      </c>
      <c r="F3019" s="6" t="s">
        <v>16</v>
      </c>
      <c r="G3019" s="6" t="s">
        <v>17</v>
      </c>
      <c r="H3019" s="6" t="s">
        <v>141</v>
      </c>
      <c r="I3019" s="6" t="s">
        <v>142</v>
      </c>
      <c r="J3019" s="6" t="s">
        <v>213</v>
      </c>
      <c r="K3019" s="7">
        <v>43608</v>
      </c>
      <c r="L3019" s="8">
        <v>0.38055555555555554</v>
      </c>
      <c r="M3019" s="6" t="s">
        <v>214</v>
      </c>
      <c r="N3019" s="14" t="s">
        <v>21</v>
      </c>
      <c r="O3019" s="6" t="s">
        <v>22</v>
      </c>
    </row>
    <row r="3020" spans="1:15" hidden="1">
      <c r="A3020" s="6" t="s">
        <v>15</v>
      </c>
      <c r="B3020" s="6" t="str">
        <f>"FES1162691283"</f>
        <v>FES1162691283</v>
      </c>
      <c r="C3020" s="7">
        <v>43607</v>
      </c>
      <c r="D3020" s="6">
        <v>1</v>
      </c>
      <c r="E3020" s="6">
        <v>2170689661</v>
      </c>
      <c r="F3020" s="6" t="s">
        <v>16</v>
      </c>
      <c r="G3020" s="6" t="s">
        <v>17</v>
      </c>
      <c r="H3020" s="6" t="s">
        <v>132</v>
      </c>
      <c r="I3020" s="6" t="s">
        <v>133</v>
      </c>
      <c r="J3020" s="6" t="s">
        <v>182</v>
      </c>
      <c r="K3020" s="7">
        <v>43608</v>
      </c>
      <c r="L3020" s="8">
        <v>0.375</v>
      </c>
      <c r="M3020" s="6" t="s">
        <v>183</v>
      </c>
      <c r="N3020" s="14" t="s">
        <v>21</v>
      </c>
      <c r="O3020" s="6" t="s">
        <v>22</v>
      </c>
    </row>
    <row r="3021" spans="1:15">
      <c r="A3021" s="6" t="s">
        <v>15</v>
      </c>
      <c r="B3021" s="6" t="str">
        <f>"FES1162691388"</f>
        <v>FES1162691388</v>
      </c>
      <c r="C3021" s="7">
        <v>43607</v>
      </c>
      <c r="D3021" s="6">
        <v>1</v>
      </c>
      <c r="E3021" s="6">
        <v>2170689505</v>
      </c>
      <c r="F3021" s="6" t="s">
        <v>16</v>
      </c>
      <c r="G3021" s="6" t="s">
        <v>17</v>
      </c>
      <c r="H3021" s="6" t="s">
        <v>17</v>
      </c>
      <c r="I3021" s="6" t="s">
        <v>64</v>
      </c>
      <c r="J3021" s="6" t="s">
        <v>3818</v>
      </c>
      <c r="K3021" s="7">
        <v>43608</v>
      </c>
      <c r="L3021" s="8">
        <v>0.33333333333333331</v>
      </c>
      <c r="M3021" s="6" t="s">
        <v>873</v>
      </c>
      <c r="N3021" s="14" t="s">
        <v>21</v>
      </c>
      <c r="O3021" s="6" t="s">
        <v>22</v>
      </c>
    </row>
    <row r="3022" spans="1:15" hidden="1">
      <c r="A3022" s="6" t="s">
        <v>15</v>
      </c>
      <c r="B3022" s="6" t="str">
        <f>"FES1162691412"</f>
        <v>FES1162691412</v>
      </c>
      <c r="C3022" s="7">
        <v>43607</v>
      </c>
      <c r="D3022" s="6">
        <v>1</v>
      </c>
      <c r="E3022" s="6">
        <v>2170685625</v>
      </c>
      <c r="F3022" s="6" t="s">
        <v>16</v>
      </c>
      <c r="G3022" s="6" t="s">
        <v>17</v>
      </c>
      <c r="H3022" s="6" t="s">
        <v>43</v>
      </c>
      <c r="I3022" s="6" t="s">
        <v>54</v>
      </c>
      <c r="J3022" s="6" t="s">
        <v>216</v>
      </c>
      <c r="K3022" s="7">
        <v>43608</v>
      </c>
      <c r="L3022" s="8">
        <v>0.41666666666666669</v>
      </c>
      <c r="M3022" s="6" t="s">
        <v>656</v>
      </c>
      <c r="N3022" s="14" t="s">
        <v>21</v>
      </c>
      <c r="O3022" s="6" t="s">
        <v>22</v>
      </c>
    </row>
    <row r="3023" spans="1:15" hidden="1">
      <c r="A3023" s="6" t="s">
        <v>15</v>
      </c>
      <c r="B3023" s="6" t="str">
        <f>"FES1162691418"</f>
        <v>FES1162691418</v>
      </c>
      <c r="C3023" s="7">
        <v>43607</v>
      </c>
      <c r="D3023" s="6">
        <v>1</v>
      </c>
      <c r="E3023" s="6">
        <v>2170687370</v>
      </c>
      <c r="F3023" s="6" t="s">
        <v>16</v>
      </c>
      <c r="G3023" s="6" t="s">
        <v>17</v>
      </c>
      <c r="H3023" s="6" t="s">
        <v>43</v>
      </c>
      <c r="I3023" s="6" t="s">
        <v>44</v>
      </c>
      <c r="J3023" s="6" t="s">
        <v>236</v>
      </c>
      <c r="K3023" s="7">
        <v>43608</v>
      </c>
      <c r="L3023" s="8">
        <v>0.41666666666666669</v>
      </c>
      <c r="M3023" s="6" t="s">
        <v>3987</v>
      </c>
      <c r="N3023" s="14" t="s">
        <v>21</v>
      </c>
      <c r="O3023" s="6" t="s">
        <v>22</v>
      </c>
    </row>
    <row r="3024" spans="1:15" hidden="1">
      <c r="A3024" s="6" t="s">
        <v>15</v>
      </c>
      <c r="B3024" s="6" t="str">
        <f>"FES1162691421"</f>
        <v>FES1162691421</v>
      </c>
      <c r="C3024" s="7">
        <v>43607</v>
      </c>
      <c r="D3024" s="6">
        <v>1</v>
      </c>
      <c r="E3024" s="6">
        <v>2170689798</v>
      </c>
      <c r="F3024" s="6" t="s">
        <v>16</v>
      </c>
      <c r="G3024" s="6" t="s">
        <v>17</v>
      </c>
      <c r="H3024" s="6" t="s">
        <v>32</v>
      </c>
      <c r="I3024" s="6" t="s">
        <v>269</v>
      </c>
      <c r="J3024" s="6" t="s">
        <v>683</v>
      </c>
      <c r="K3024" s="7">
        <v>43608</v>
      </c>
      <c r="L3024" s="8">
        <v>0.36805555555555558</v>
      </c>
      <c r="M3024" s="6" t="s">
        <v>684</v>
      </c>
      <c r="N3024" s="14" t="s">
        <v>21</v>
      </c>
      <c r="O3024" s="6" t="s">
        <v>22</v>
      </c>
    </row>
    <row r="3025" spans="1:15">
      <c r="A3025" s="6" t="s">
        <v>15</v>
      </c>
      <c r="B3025" s="6" t="str">
        <f>"FES1162691174"</f>
        <v>FES1162691174</v>
      </c>
      <c r="C3025" s="7">
        <v>43607</v>
      </c>
      <c r="D3025" s="6">
        <v>1</v>
      </c>
      <c r="E3025" s="6">
        <v>2170689566</v>
      </c>
      <c r="F3025" s="6" t="s">
        <v>16</v>
      </c>
      <c r="G3025" s="6" t="s">
        <v>17</v>
      </c>
      <c r="H3025" s="6" t="s">
        <v>17</v>
      </c>
      <c r="I3025" s="6" t="s">
        <v>64</v>
      </c>
      <c r="J3025" s="6" t="s">
        <v>1434</v>
      </c>
      <c r="K3025" s="7">
        <v>43608</v>
      </c>
      <c r="L3025" s="8">
        <v>0.33333333333333331</v>
      </c>
      <c r="M3025" s="6" t="s">
        <v>3988</v>
      </c>
      <c r="N3025" s="14" t="s">
        <v>21</v>
      </c>
      <c r="O3025" s="6" t="s">
        <v>22</v>
      </c>
    </row>
    <row r="3026" spans="1:15">
      <c r="A3026" s="6" t="s">
        <v>15</v>
      </c>
      <c r="B3026" s="6" t="str">
        <f>"FES1162691425"</f>
        <v>FES1162691425</v>
      </c>
      <c r="C3026" s="7">
        <v>43607</v>
      </c>
      <c r="D3026" s="6">
        <v>1</v>
      </c>
      <c r="E3026" s="6">
        <v>21709689803</v>
      </c>
      <c r="F3026" s="6" t="s">
        <v>16</v>
      </c>
      <c r="G3026" s="6" t="s">
        <v>17</v>
      </c>
      <c r="H3026" s="6" t="s">
        <v>17</v>
      </c>
      <c r="I3026" s="6" t="s">
        <v>23</v>
      </c>
      <c r="J3026" s="6" t="s">
        <v>3989</v>
      </c>
      <c r="K3026" s="7">
        <v>43608</v>
      </c>
      <c r="L3026" s="8">
        <v>0.35902777777777778</v>
      </c>
      <c r="M3026" s="6" t="s">
        <v>498</v>
      </c>
      <c r="N3026" s="14" t="s">
        <v>21</v>
      </c>
      <c r="O3026" s="6" t="s">
        <v>22</v>
      </c>
    </row>
    <row r="3027" spans="1:15">
      <c r="A3027" s="6" t="s">
        <v>15</v>
      </c>
      <c r="B3027" s="6" t="str">
        <f>"FES1162691185"</f>
        <v>FES1162691185</v>
      </c>
      <c r="C3027" s="7">
        <v>43607</v>
      </c>
      <c r="D3027" s="6">
        <v>1</v>
      </c>
      <c r="E3027" s="6">
        <v>2170689598</v>
      </c>
      <c r="F3027" s="6" t="s">
        <v>16</v>
      </c>
      <c r="G3027" s="6" t="s">
        <v>17</v>
      </c>
      <c r="H3027" s="6" t="s">
        <v>17</v>
      </c>
      <c r="I3027" s="6" t="s">
        <v>26</v>
      </c>
      <c r="J3027" s="6" t="s">
        <v>3990</v>
      </c>
      <c r="K3027" s="7">
        <v>43608</v>
      </c>
      <c r="L3027" s="8">
        <v>0.33333333333333331</v>
      </c>
      <c r="M3027" s="6" t="s">
        <v>100</v>
      </c>
      <c r="N3027" s="14" t="s">
        <v>21</v>
      </c>
      <c r="O3027" s="6" t="s">
        <v>22</v>
      </c>
    </row>
    <row r="3028" spans="1:15" hidden="1">
      <c r="A3028" s="6" t="s">
        <v>15</v>
      </c>
      <c r="B3028" s="6" t="str">
        <f>"FES1162691427"</f>
        <v>FES1162691427</v>
      </c>
      <c r="C3028" s="7">
        <v>43607</v>
      </c>
      <c r="D3028" s="6">
        <v>1</v>
      </c>
      <c r="E3028" s="6">
        <v>2170689807</v>
      </c>
      <c r="F3028" s="6" t="s">
        <v>16</v>
      </c>
      <c r="G3028" s="6" t="s">
        <v>17</v>
      </c>
      <c r="H3028" s="6" t="s">
        <v>141</v>
      </c>
      <c r="I3028" s="6" t="s">
        <v>142</v>
      </c>
      <c r="J3028" s="6" t="s">
        <v>976</v>
      </c>
      <c r="K3028" s="7">
        <v>43608</v>
      </c>
      <c r="L3028" s="8">
        <v>0.37291666666666662</v>
      </c>
      <c r="M3028" s="6" t="s">
        <v>3457</v>
      </c>
      <c r="N3028" s="14" t="s">
        <v>21</v>
      </c>
      <c r="O3028" s="6" t="s">
        <v>22</v>
      </c>
    </row>
    <row r="3029" spans="1:15">
      <c r="A3029" s="6" t="s">
        <v>15</v>
      </c>
      <c r="B3029" s="6" t="str">
        <f>"FES1162691397"</f>
        <v>FES1162691397</v>
      </c>
      <c r="C3029" s="7">
        <v>43607</v>
      </c>
      <c r="D3029" s="6">
        <v>1</v>
      </c>
      <c r="E3029" s="6">
        <v>2170689780</v>
      </c>
      <c r="F3029" s="6" t="s">
        <v>16</v>
      </c>
      <c r="G3029" s="6" t="s">
        <v>17</v>
      </c>
      <c r="H3029" s="6" t="s">
        <v>17</v>
      </c>
      <c r="I3029" s="6" t="s">
        <v>18</v>
      </c>
      <c r="J3029" s="6" t="s">
        <v>3991</v>
      </c>
      <c r="K3029" s="7">
        <v>43608</v>
      </c>
      <c r="L3029" s="8">
        <v>0.4236111111111111</v>
      </c>
      <c r="M3029" s="6" t="s">
        <v>3992</v>
      </c>
      <c r="N3029" s="14" t="s">
        <v>21</v>
      </c>
      <c r="O3029" s="6" t="s">
        <v>22</v>
      </c>
    </row>
    <row r="3030" spans="1:15">
      <c r="A3030" s="6" t="s">
        <v>15</v>
      </c>
      <c r="B3030" s="6" t="str">
        <f>"FES1162691378"</f>
        <v>FES1162691378</v>
      </c>
      <c r="C3030" s="7">
        <v>43607</v>
      </c>
      <c r="D3030" s="6">
        <v>1</v>
      </c>
      <c r="E3030" s="6">
        <v>2170689767</v>
      </c>
      <c r="F3030" s="6" t="s">
        <v>16</v>
      </c>
      <c r="G3030" s="6" t="s">
        <v>17</v>
      </c>
      <c r="H3030" s="6" t="s">
        <v>17</v>
      </c>
      <c r="I3030" s="6" t="s">
        <v>18</v>
      </c>
      <c r="J3030" s="6" t="s">
        <v>3975</v>
      </c>
      <c r="K3030" s="7">
        <v>43608</v>
      </c>
      <c r="L3030" s="8">
        <v>0.4465277777777778</v>
      </c>
      <c r="M3030" s="6" t="s">
        <v>3993</v>
      </c>
      <c r="N3030" s="14" t="s">
        <v>21</v>
      </c>
      <c r="O3030" s="6" t="s">
        <v>22</v>
      </c>
    </row>
    <row r="3031" spans="1:15">
      <c r="A3031" s="6" t="s">
        <v>15</v>
      </c>
      <c r="B3031" s="6" t="str">
        <f>"FES1162691429"</f>
        <v>FES1162691429</v>
      </c>
      <c r="C3031" s="7">
        <v>43607</v>
      </c>
      <c r="D3031" s="6">
        <v>1</v>
      </c>
      <c r="E3031" s="6">
        <v>2170688385</v>
      </c>
      <c r="F3031" s="6" t="s">
        <v>16</v>
      </c>
      <c r="G3031" s="6" t="s">
        <v>17</v>
      </c>
      <c r="H3031" s="6" t="s">
        <v>17</v>
      </c>
      <c r="I3031" s="6" t="s">
        <v>610</v>
      </c>
      <c r="J3031" s="6" t="s">
        <v>2046</v>
      </c>
      <c r="K3031" s="7">
        <v>43608</v>
      </c>
      <c r="L3031" s="8">
        <v>0.33333333333333331</v>
      </c>
      <c r="M3031" s="6" t="s">
        <v>2047</v>
      </c>
      <c r="N3031" s="14" t="s">
        <v>21</v>
      </c>
      <c r="O3031" s="6" t="s">
        <v>22</v>
      </c>
    </row>
    <row r="3032" spans="1:15">
      <c r="A3032" s="6" t="s">
        <v>15</v>
      </c>
      <c r="B3032" s="6" t="str">
        <f>"FES1162691416"</f>
        <v>FES1162691416</v>
      </c>
      <c r="C3032" s="7">
        <v>43607</v>
      </c>
      <c r="D3032" s="6">
        <v>2</v>
      </c>
      <c r="E3032" s="6">
        <v>2170686711</v>
      </c>
      <c r="F3032" s="6" t="s">
        <v>16</v>
      </c>
      <c r="G3032" s="6" t="s">
        <v>17</v>
      </c>
      <c r="H3032" s="6" t="s">
        <v>17</v>
      </c>
      <c r="I3032" s="6" t="s">
        <v>64</v>
      </c>
      <c r="J3032" s="6" t="s">
        <v>3818</v>
      </c>
      <c r="K3032" s="7">
        <v>43608</v>
      </c>
      <c r="L3032" s="8">
        <v>0.33333333333333331</v>
      </c>
      <c r="M3032" s="6" t="s">
        <v>873</v>
      </c>
      <c r="N3032" s="14" t="s">
        <v>21</v>
      </c>
      <c r="O3032" s="6" t="s">
        <v>22</v>
      </c>
    </row>
    <row r="3033" spans="1:15" hidden="1">
      <c r="A3033" s="6" t="s">
        <v>15</v>
      </c>
      <c r="B3033" s="6" t="str">
        <f>"FES1162691372"</f>
        <v>FES1162691372</v>
      </c>
      <c r="C3033" s="7">
        <v>43607</v>
      </c>
      <c r="D3033" s="6">
        <v>1</v>
      </c>
      <c r="E3033" s="6">
        <v>2170689741</v>
      </c>
      <c r="F3033" s="6" t="s">
        <v>58</v>
      </c>
      <c r="G3033" s="6" t="s">
        <v>59</v>
      </c>
      <c r="H3033" s="6" t="s">
        <v>59</v>
      </c>
      <c r="I3033" s="6" t="s">
        <v>148</v>
      </c>
      <c r="J3033" s="6" t="s">
        <v>164</v>
      </c>
      <c r="K3033" s="7">
        <v>43608</v>
      </c>
      <c r="L3033" s="8">
        <v>0.40138888888888885</v>
      </c>
      <c r="M3033" s="6" t="s">
        <v>3869</v>
      </c>
      <c r="N3033" s="14" t="s">
        <v>21</v>
      </c>
      <c r="O3033" s="6" t="s">
        <v>22</v>
      </c>
    </row>
    <row r="3034" spans="1:15">
      <c r="A3034" s="6" t="s">
        <v>15</v>
      </c>
      <c r="B3034" s="6" t="str">
        <f>"FES1162691373"</f>
        <v>FES1162691373</v>
      </c>
      <c r="C3034" s="7">
        <v>43607</v>
      </c>
      <c r="D3034" s="6">
        <v>1</v>
      </c>
      <c r="E3034" s="6">
        <v>2170685652</v>
      </c>
      <c r="F3034" s="6" t="s">
        <v>16</v>
      </c>
      <c r="G3034" s="6" t="s">
        <v>17</v>
      </c>
      <c r="H3034" s="6" t="s">
        <v>17</v>
      </c>
      <c r="I3034" s="6" t="s">
        <v>18</v>
      </c>
      <c r="J3034" s="6" t="s">
        <v>89</v>
      </c>
      <c r="K3034" s="7">
        <v>43608</v>
      </c>
      <c r="L3034" s="8">
        <v>0.35625000000000001</v>
      </c>
      <c r="M3034" s="6" t="s">
        <v>3994</v>
      </c>
      <c r="N3034" s="14" t="s">
        <v>21</v>
      </c>
      <c r="O3034" s="6" t="s">
        <v>22</v>
      </c>
    </row>
    <row r="3035" spans="1:15">
      <c r="A3035" s="6" t="s">
        <v>15</v>
      </c>
      <c r="B3035" s="6" t="str">
        <f>"FES1162691409"</f>
        <v>FES1162691409</v>
      </c>
      <c r="C3035" s="7">
        <v>43607</v>
      </c>
      <c r="D3035" s="6">
        <v>1</v>
      </c>
      <c r="E3035" s="6">
        <v>2170689794</v>
      </c>
      <c r="F3035" s="6" t="s">
        <v>16</v>
      </c>
      <c r="G3035" s="6" t="s">
        <v>17</v>
      </c>
      <c r="H3035" s="6" t="s">
        <v>17</v>
      </c>
      <c r="I3035" s="6" t="s">
        <v>23</v>
      </c>
      <c r="J3035" s="6" t="s">
        <v>3995</v>
      </c>
      <c r="K3035" s="7">
        <v>43608</v>
      </c>
      <c r="L3035" s="8">
        <v>0.35347222222222219</v>
      </c>
      <c r="M3035" s="6" t="s">
        <v>3996</v>
      </c>
      <c r="N3035" s="14" t="s">
        <v>21</v>
      </c>
      <c r="O3035" s="6" t="s">
        <v>22</v>
      </c>
    </row>
    <row r="3036" spans="1:15" ht="15.75" thickBot="1">
      <c r="A3036" s="11" t="s">
        <v>15</v>
      </c>
      <c r="B3036" s="11" t="str">
        <f>"039902827542"</f>
        <v>039902827542</v>
      </c>
      <c r="C3036" s="12">
        <v>43607</v>
      </c>
      <c r="D3036" s="11">
        <v>1</v>
      </c>
      <c r="E3036" s="11" t="s">
        <v>3997</v>
      </c>
      <c r="F3036" s="11" t="s">
        <v>16</v>
      </c>
      <c r="G3036" s="11" t="s">
        <v>32</v>
      </c>
      <c r="H3036" s="11" t="s">
        <v>17</v>
      </c>
      <c r="I3036" s="11" t="s">
        <v>64</v>
      </c>
      <c r="J3036" s="11" t="s">
        <v>1061</v>
      </c>
      <c r="K3036" s="12">
        <v>43608</v>
      </c>
      <c r="L3036" s="13">
        <v>0.375</v>
      </c>
      <c r="M3036" s="11" t="s">
        <v>477</v>
      </c>
      <c r="N3036" s="11" t="s">
        <v>21</v>
      </c>
      <c r="O3036" s="11" t="s">
        <v>3998</v>
      </c>
    </row>
    <row r="3037" spans="1:15" hidden="1">
      <c r="A3037" s="3" t="s">
        <v>15</v>
      </c>
      <c r="B3037" s="3" t="str">
        <f>"FES1162691609"</f>
        <v>FES1162691609</v>
      </c>
      <c r="C3037" s="4">
        <v>43608</v>
      </c>
      <c r="D3037" s="3">
        <v>1</v>
      </c>
      <c r="E3037" s="3">
        <v>2170689910</v>
      </c>
      <c r="F3037" s="3" t="s">
        <v>16</v>
      </c>
      <c r="G3037" s="3" t="s">
        <v>17</v>
      </c>
      <c r="H3037" s="3" t="s">
        <v>141</v>
      </c>
      <c r="I3037" s="3" t="s">
        <v>142</v>
      </c>
      <c r="J3037" s="3" t="s">
        <v>228</v>
      </c>
      <c r="K3037" s="3" t="s">
        <v>1730</v>
      </c>
      <c r="L3037" s="3"/>
      <c r="M3037" s="3" t="s">
        <v>1731</v>
      </c>
      <c r="N3037" s="3" t="s">
        <v>3999</v>
      </c>
      <c r="O3037" s="3" t="s">
        <v>22</v>
      </c>
    </row>
    <row r="3038" spans="1:15" hidden="1">
      <c r="A3038" s="6" t="s">
        <v>15</v>
      </c>
      <c r="B3038" s="6" t="str">
        <f>"FES1162691475"</f>
        <v>FES1162691475</v>
      </c>
      <c r="C3038" s="7">
        <v>43608</v>
      </c>
      <c r="D3038" s="6">
        <v>1</v>
      </c>
      <c r="E3038" s="6">
        <v>2170689829</v>
      </c>
      <c r="F3038" s="6" t="s">
        <v>16</v>
      </c>
      <c r="G3038" s="6" t="s">
        <v>17</v>
      </c>
      <c r="H3038" s="6" t="s">
        <v>43</v>
      </c>
      <c r="I3038" s="6" t="s">
        <v>44</v>
      </c>
      <c r="J3038" s="6" t="s">
        <v>336</v>
      </c>
      <c r="K3038" s="6" t="s">
        <v>1730</v>
      </c>
      <c r="L3038" s="6"/>
      <c r="M3038" s="6" t="s">
        <v>1731</v>
      </c>
      <c r="N3038" s="6" t="s">
        <v>3999</v>
      </c>
      <c r="O3038" s="6" t="s">
        <v>22</v>
      </c>
    </row>
    <row r="3039" spans="1:15" hidden="1">
      <c r="A3039" s="6" t="s">
        <v>15</v>
      </c>
      <c r="B3039" s="6" t="str">
        <f>"FES1162691521"</f>
        <v>FES1162691521</v>
      </c>
      <c r="C3039" s="7">
        <v>43608</v>
      </c>
      <c r="D3039" s="6">
        <v>1</v>
      </c>
      <c r="E3039" s="6">
        <v>2170687475</v>
      </c>
      <c r="F3039" s="6" t="s">
        <v>16</v>
      </c>
      <c r="G3039" s="6" t="s">
        <v>17</v>
      </c>
      <c r="H3039" s="6" t="s">
        <v>43</v>
      </c>
      <c r="I3039" s="6" t="s">
        <v>60</v>
      </c>
      <c r="J3039" s="6" t="s">
        <v>409</v>
      </c>
      <c r="K3039" s="6" t="s">
        <v>1730</v>
      </c>
      <c r="L3039" s="6"/>
      <c r="M3039" s="6" t="s">
        <v>1731</v>
      </c>
      <c r="N3039" s="6" t="s">
        <v>3999</v>
      </c>
      <c r="O3039" s="6" t="s">
        <v>22</v>
      </c>
    </row>
    <row r="3040" spans="1:15" hidden="1">
      <c r="A3040" s="14" t="s">
        <v>15</v>
      </c>
      <c r="B3040" s="14" t="str">
        <f>"FES1162691437"</f>
        <v>FES1162691437</v>
      </c>
      <c r="C3040" s="15">
        <v>43608</v>
      </c>
      <c r="D3040" s="14">
        <v>1</v>
      </c>
      <c r="E3040" s="14">
        <v>2170685743</v>
      </c>
      <c r="F3040" s="14" t="s">
        <v>16</v>
      </c>
      <c r="G3040" s="14" t="s">
        <v>17</v>
      </c>
      <c r="H3040" s="14" t="s">
        <v>132</v>
      </c>
      <c r="I3040" s="14" t="s">
        <v>133</v>
      </c>
      <c r="J3040" s="14" t="s">
        <v>4000</v>
      </c>
      <c r="K3040" s="14" t="s">
        <v>1730</v>
      </c>
      <c r="L3040" s="14"/>
      <c r="M3040" s="14" t="s">
        <v>1731</v>
      </c>
      <c r="N3040" s="14" t="s">
        <v>3999</v>
      </c>
      <c r="O3040" s="14" t="s">
        <v>22</v>
      </c>
    </row>
    <row r="3041" spans="1:15" hidden="1">
      <c r="A3041" s="6" t="s">
        <v>15</v>
      </c>
      <c r="B3041" s="6" t="str">
        <f>"FES1162691609"</f>
        <v>FES1162691609</v>
      </c>
      <c r="C3041" s="7">
        <v>43608</v>
      </c>
      <c r="D3041" s="6">
        <v>1</v>
      </c>
      <c r="E3041" s="6">
        <v>2170689910</v>
      </c>
      <c r="F3041" s="6" t="s">
        <v>16</v>
      </c>
      <c r="G3041" s="6" t="s">
        <v>17</v>
      </c>
      <c r="H3041" s="6" t="s">
        <v>141</v>
      </c>
      <c r="I3041" s="6" t="s">
        <v>142</v>
      </c>
      <c r="J3041" s="6" t="s">
        <v>228</v>
      </c>
      <c r="K3041" s="7">
        <v>43609</v>
      </c>
      <c r="L3041" s="8">
        <v>0.38541666666666669</v>
      </c>
      <c r="M3041" s="6" t="s">
        <v>229</v>
      </c>
      <c r="N3041" s="14" t="s">
        <v>21</v>
      </c>
      <c r="O3041" s="6" t="s">
        <v>22</v>
      </c>
    </row>
    <row r="3042" spans="1:15" hidden="1">
      <c r="A3042" t="s">
        <v>15</v>
      </c>
      <c r="B3042" t="str">
        <f>"FES1162691475"</f>
        <v>FES1162691475</v>
      </c>
      <c r="C3042" s="9">
        <v>43608</v>
      </c>
      <c r="D3042">
        <v>1</v>
      </c>
      <c r="E3042">
        <v>2170689829</v>
      </c>
      <c r="F3042" t="s">
        <v>16</v>
      </c>
      <c r="G3042" t="s">
        <v>17</v>
      </c>
      <c r="H3042" t="s">
        <v>43</v>
      </c>
      <c r="I3042" t="s">
        <v>44</v>
      </c>
      <c r="J3042" t="s">
        <v>336</v>
      </c>
      <c r="K3042" s="9">
        <v>43609</v>
      </c>
      <c r="L3042" s="10">
        <v>0.36805555555555558</v>
      </c>
      <c r="M3042" t="s">
        <v>1502</v>
      </c>
      <c r="N3042" t="s">
        <v>4001</v>
      </c>
      <c r="O3042" t="s">
        <v>22</v>
      </c>
    </row>
    <row r="3043" spans="1:15" hidden="1">
      <c r="A3043" t="s">
        <v>15</v>
      </c>
      <c r="B3043" t="str">
        <f>"FES1162691521"</f>
        <v>FES1162691521</v>
      </c>
      <c r="C3043" s="9">
        <v>43608</v>
      </c>
      <c r="D3043">
        <v>1</v>
      </c>
      <c r="E3043">
        <v>2170687475</v>
      </c>
      <c r="F3043" t="s">
        <v>16</v>
      </c>
      <c r="G3043" t="s">
        <v>17</v>
      </c>
      <c r="H3043" t="s">
        <v>43</v>
      </c>
      <c r="I3043" t="s">
        <v>60</v>
      </c>
      <c r="J3043" t="s">
        <v>409</v>
      </c>
      <c r="K3043" t="s">
        <v>1730</v>
      </c>
      <c r="L3043"/>
      <c r="M3043" t="s">
        <v>1731</v>
      </c>
      <c r="N3043" t="s">
        <v>4002</v>
      </c>
      <c r="O3043" t="s">
        <v>22</v>
      </c>
    </row>
    <row r="3044" spans="1:15" hidden="1">
      <c r="A3044" t="s">
        <v>15</v>
      </c>
      <c r="B3044" t="str">
        <f>"FES1162691437"</f>
        <v>FES1162691437</v>
      </c>
      <c r="C3044" s="9">
        <v>43608</v>
      </c>
      <c r="D3044">
        <v>1</v>
      </c>
      <c r="E3044">
        <v>2170685743</v>
      </c>
      <c r="F3044" t="s">
        <v>16</v>
      </c>
      <c r="G3044" t="s">
        <v>17</v>
      </c>
      <c r="H3044" t="s">
        <v>132</v>
      </c>
      <c r="I3044" t="s">
        <v>133</v>
      </c>
      <c r="J3044" t="s">
        <v>4000</v>
      </c>
      <c r="K3044" s="9">
        <v>43609</v>
      </c>
      <c r="L3044" s="10">
        <v>0.42083333333333334</v>
      </c>
      <c r="M3044" t="s">
        <v>4003</v>
      </c>
      <c r="N3044" t="s">
        <v>4004</v>
      </c>
      <c r="O3044" t="s">
        <v>22</v>
      </c>
    </row>
    <row r="3045" spans="1:15" hidden="1">
      <c r="A3045" t="s">
        <v>15</v>
      </c>
      <c r="B3045" t="str">
        <f>"029908472353"</f>
        <v>029908472353</v>
      </c>
      <c r="C3045" s="9">
        <v>43608</v>
      </c>
      <c r="D3045">
        <v>1</v>
      </c>
      <c r="E3045" s="29">
        <v>319411940</v>
      </c>
      <c r="F3045" t="s">
        <v>58</v>
      </c>
      <c r="G3045" t="s">
        <v>141</v>
      </c>
      <c r="H3045" t="s">
        <v>2986</v>
      </c>
      <c r="I3045" t="s">
        <v>291</v>
      </c>
      <c r="J3045" t="s">
        <v>4005</v>
      </c>
      <c r="K3045" t="s">
        <v>1730</v>
      </c>
      <c r="L3045"/>
      <c r="M3045" t="s">
        <v>1731</v>
      </c>
      <c r="N3045" t="s">
        <v>4006</v>
      </c>
      <c r="O3045" t="s">
        <v>22</v>
      </c>
    </row>
    <row r="3046" spans="1:15" hidden="1">
      <c r="A3046" t="s">
        <v>15</v>
      </c>
      <c r="B3046" t="str">
        <f>"FES1162691538"</f>
        <v>FES1162691538</v>
      </c>
      <c r="C3046" s="9">
        <v>43608</v>
      </c>
      <c r="D3046">
        <v>1</v>
      </c>
      <c r="E3046">
        <v>2170688034</v>
      </c>
      <c r="F3046" t="s">
        <v>16</v>
      </c>
      <c r="G3046" t="s">
        <v>17</v>
      </c>
      <c r="H3046" t="s">
        <v>43</v>
      </c>
      <c r="I3046" t="s">
        <v>44</v>
      </c>
      <c r="J3046" t="s">
        <v>748</v>
      </c>
      <c r="K3046" s="9">
        <v>43609</v>
      </c>
      <c r="L3046" s="10">
        <v>0.41666666666666669</v>
      </c>
      <c r="M3046" t="s">
        <v>3834</v>
      </c>
      <c r="N3046" t="s">
        <v>4007</v>
      </c>
      <c r="O3046" t="s">
        <v>22</v>
      </c>
    </row>
    <row r="3047" spans="1:15" hidden="1">
      <c r="A3047" t="s">
        <v>15</v>
      </c>
      <c r="B3047" t="str">
        <f>"FES1162691574"</f>
        <v>FES1162691574</v>
      </c>
      <c r="C3047" s="9">
        <v>43608</v>
      </c>
      <c r="D3047">
        <v>1</v>
      </c>
      <c r="E3047">
        <v>217688346</v>
      </c>
      <c r="F3047" t="s">
        <v>16</v>
      </c>
      <c r="G3047" t="s">
        <v>17</v>
      </c>
      <c r="H3047" t="s">
        <v>43</v>
      </c>
      <c r="I3047" t="s">
        <v>75</v>
      </c>
      <c r="J3047" t="s">
        <v>76</v>
      </c>
      <c r="K3047" s="9">
        <v>43609</v>
      </c>
      <c r="L3047" s="10">
        <v>0.47986111111111113</v>
      </c>
      <c r="M3047" t="s">
        <v>663</v>
      </c>
      <c r="N3047" t="s">
        <v>4008</v>
      </c>
      <c r="O3047" t="s">
        <v>22</v>
      </c>
    </row>
    <row r="3048" spans="1:15" hidden="1">
      <c r="A3048" t="s">
        <v>15</v>
      </c>
      <c r="B3048" t="str">
        <f>"FES1162691505"</f>
        <v>FES1162691505</v>
      </c>
      <c r="C3048" s="9">
        <v>43608</v>
      </c>
      <c r="D3048">
        <v>1</v>
      </c>
      <c r="E3048">
        <v>2170689879</v>
      </c>
      <c r="F3048" t="s">
        <v>16</v>
      </c>
      <c r="G3048" t="s">
        <v>17</v>
      </c>
      <c r="H3048" t="s">
        <v>43</v>
      </c>
      <c r="I3048" t="s">
        <v>60</v>
      </c>
      <c r="J3048" t="s">
        <v>242</v>
      </c>
      <c r="K3048" t="s">
        <v>1730</v>
      </c>
      <c r="L3048"/>
      <c r="M3048" t="s">
        <v>1731</v>
      </c>
      <c r="N3048" t="s">
        <v>4002</v>
      </c>
      <c r="O3048" t="s">
        <v>22</v>
      </c>
    </row>
    <row r="3049" spans="1:15" hidden="1">
      <c r="A3049" t="s">
        <v>15</v>
      </c>
      <c r="B3049" t="str">
        <f>"FES1162691565"</f>
        <v>FES1162691565</v>
      </c>
      <c r="C3049" s="9">
        <v>43608</v>
      </c>
      <c r="D3049">
        <v>1</v>
      </c>
      <c r="E3049">
        <v>2170688243</v>
      </c>
      <c r="F3049" t="s">
        <v>16</v>
      </c>
      <c r="G3049" t="s">
        <v>17</v>
      </c>
      <c r="H3049" t="s">
        <v>43</v>
      </c>
      <c r="I3049" t="s">
        <v>44</v>
      </c>
      <c r="J3049" t="s">
        <v>2804</v>
      </c>
      <c r="K3049" s="9">
        <v>43609</v>
      </c>
      <c r="L3049" s="10">
        <v>0.41666666666666669</v>
      </c>
      <c r="M3049" t="s">
        <v>4009</v>
      </c>
      <c r="N3049" t="s">
        <v>4010</v>
      </c>
      <c r="O3049" t="s">
        <v>22</v>
      </c>
    </row>
    <row r="3050" spans="1:15" hidden="1">
      <c r="A3050" t="s">
        <v>15</v>
      </c>
      <c r="B3050" t="str">
        <f>"FES1162691552"</f>
        <v>FES1162691552</v>
      </c>
      <c r="C3050" s="9">
        <v>43608</v>
      </c>
      <c r="D3050">
        <v>1</v>
      </c>
      <c r="E3050">
        <v>2170688145</v>
      </c>
      <c r="F3050" t="s">
        <v>16</v>
      </c>
      <c r="G3050" t="s">
        <v>17</v>
      </c>
      <c r="H3050" t="s">
        <v>43</v>
      </c>
      <c r="I3050" t="s">
        <v>44</v>
      </c>
      <c r="J3050" t="s">
        <v>51</v>
      </c>
      <c r="K3050" s="9">
        <v>43609</v>
      </c>
      <c r="L3050" s="10">
        <v>0.34513888888888888</v>
      </c>
      <c r="M3050" t="s">
        <v>4011</v>
      </c>
      <c r="N3050" t="s">
        <v>4012</v>
      </c>
      <c r="O3050" t="s">
        <v>22</v>
      </c>
    </row>
    <row r="3051" spans="1:15" hidden="1">
      <c r="A3051" t="s">
        <v>15</v>
      </c>
      <c r="B3051" t="str">
        <f>"FES1162691454"</f>
        <v>FES1162691454</v>
      </c>
      <c r="C3051" s="9">
        <v>43608</v>
      </c>
      <c r="D3051">
        <v>1</v>
      </c>
      <c r="E3051">
        <v>2170689014</v>
      </c>
      <c r="F3051" t="s">
        <v>16</v>
      </c>
      <c r="G3051" t="s">
        <v>17</v>
      </c>
      <c r="H3051" t="s">
        <v>43</v>
      </c>
      <c r="I3051" t="s">
        <v>44</v>
      </c>
      <c r="J3051" t="s">
        <v>114</v>
      </c>
      <c r="K3051" s="9">
        <v>43609</v>
      </c>
      <c r="L3051" s="10">
        <v>0.43541666666666662</v>
      </c>
      <c r="M3051" t="s">
        <v>4013</v>
      </c>
      <c r="N3051" t="s">
        <v>4014</v>
      </c>
      <c r="O3051" t="s">
        <v>22</v>
      </c>
    </row>
    <row r="3052" spans="1:15" hidden="1">
      <c r="A3052" t="s">
        <v>15</v>
      </c>
      <c r="B3052" t="str">
        <f>"FES1162691522"</f>
        <v>FES1162691522</v>
      </c>
      <c r="C3052" s="9">
        <v>43608</v>
      </c>
      <c r="D3052">
        <v>1</v>
      </c>
      <c r="E3052">
        <v>2170687631</v>
      </c>
      <c r="F3052" t="s">
        <v>16</v>
      </c>
      <c r="G3052" t="s">
        <v>17</v>
      </c>
      <c r="H3052" t="s">
        <v>425</v>
      </c>
      <c r="I3052" t="s">
        <v>771</v>
      </c>
      <c r="J3052" t="s">
        <v>772</v>
      </c>
      <c r="K3052" s="9">
        <v>43609</v>
      </c>
      <c r="L3052" s="10">
        <v>0.57430555555555551</v>
      </c>
      <c r="M3052" t="s">
        <v>773</v>
      </c>
      <c r="N3052" t="s">
        <v>4015</v>
      </c>
      <c r="O3052" t="s">
        <v>22</v>
      </c>
    </row>
    <row r="3053" spans="1:15" hidden="1">
      <c r="A3053" t="s">
        <v>15</v>
      </c>
      <c r="B3053" t="str">
        <f>"FES1162691557"</f>
        <v>FES1162691557</v>
      </c>
      <c r="C3053" s="9">
        <v>43608</v>
      </c>
      <c r="D3053">
        <v>1</v>
      </c>
      <c r="E3053">
        <v>2170688160</v>
      </c>
      <c r="F3053" t="s">
        <v>16</v>
      </c>
      <c r="G3053" t="s">
        <v>17</v>
      </c>
      <c r="H3053" t="s">
        <v>43</v>
      </c>
      <c r="I3053" t="s">
        <v>738</v>
      </c>
      <c r="J3053" t="s">
        <v>739</v>
      </c>
      <c r="K3053" s="9">
        <v>43609</v>
      </c>
      <c r="L3053" s="10">
        <v>0.4055555555555555</v>
      </c>
      <c r="M3053" t="s">
        <v>740</v>
      </c>
      <c r="N3053" t="s">
        <v>4016</v>
      </c>
      <c r="O3053" t="s">
        <v>22</v>
      </c>
    </row>
    <row r="3054" spans="1:15" hidden="1">
      <c r="A3054" t="s">
        <v>15</v>
      </c>
      <c r="B3054" t="str">
        <f>"FES1162691553"</f>
        <v>FES1162691553</v>
      </c>
      <c r="C3054" s="9">
        <v>43608</v>
      </c>
      <c r="D3054">
        <v>1</v>
      </c>
      <c r="E3054">
        <v>2170688153</v>
      </c>
      <c r="F3054" t="s">
        <v>16</v>
      </c>
      <c r="G3054" t="s">
        <v>17</v>
      </c>
      <c r="H3054" t="s">
        <v>43</v>
      </c>
      <c r="I3054" t="s">
        <v>44</v>
      </c>
      <c r="J3054" t="s">
        <v>336</v>
      </c>
      <c r="K3054" s="9">
        <v>43609</v>
      </c>
      <c r="L3054" s="10">
        <v>0.36736111111111108</v>
      </c>
      <c r="M3054" t="s">
        <v>1502</v>
      </c>
      <c r="N3054" t="s">
        <v>4017</v>
      </c>
      <c r="O3054" t="s">
        <v>22</v>
      </c>
    </row>
    <row r="3055" spans="1:15" hidden="1">
      <c r="A3055" t="s">
        <v>15</v>
      </c>
      <c r="B3055" t="str">
        <f>"FES1162691546"</f>
        <v>FES1162691546</v>
      </c>
      <c r="C3055" s="9">
        <v>43608</v>
      </c>
      <c r="D3055">
        <v>1</v>
      </c>
      <c r="E3055">
        <v>2170688094</v>
      </c>
      <c r="F3055" t="s">
        <v>16</v>
      </c>
      <c r="G3055" t="s">
        <v>17</v>
      </c>
      <c r="H3055" t="s">
        <v>43</v>
      </c>
      <c r="I3055" t="s">
        <v>44</v>
      </c>
      <c r="J3055" t="s">
        <v>2509</v>
      </c>
      <c r="K3055" s="9">
        <v>43609</v>
      </c>
      <c r="L3055" s="10">
        <v>0.35833333333333334</v>
      </c>
      <c r="M3055" t="s">
        <v>4018</v>
      </c>
      <c r="N3055" t="s">
        <v>4019</v>
      </c>
      <c r="O3055" t="s">
        <v>22</v>
      </c>
    </row>
    <row r="3056" spans="1:15" hidden="1">
      <c r="A3056" t="s">
        <v>15</v>
      </c>
      <c r="B3056" t="str">
        <f>"FES1162691477"</f>
        <v>FES1162691477</v>
      </c>
      <c r="C3056" s="9">
        <v>43608</v>
      </c>
      <c r="D3056">
        <v>1</v>
      </c>
      <c r="E3056">
        <v>2170689836</v>
      </c>
      <c r="F3056" t="s">
        <v>16</v>
      </c>
      <c r="G3056" t="s">
        <v>17</v>
      </c>
      <c r="H3056" t="s">
        <v>43</v>
      </c>
      <c r="I3056" t="s">
        <v>44</v>
      </c>
      <c r="J3056" t="s">
        <v>399</v>
      </c>
      <c r="K3056" s="9">
        <v>43609</v>
      </c>
      <c r="L3056" s="10">
        <v>0.36319444444444443</v>
      </c>
      <c r="M3056" t="s">
        <v>4020</v>
      </c>
      <c r="N3056" t="s">
        <v>4021</v>
      </c>
      <c r="O3056" t="s">
        <v>22</v>
      </c>
    </row>
    <row r="3057" spans="1:15" hidden="1">
      <c r="A3057" t="s">
        <v>15</v>
      </c>
      <c r="B3057" t="str">
        <f>"FES1162691442"</f>
        <v>FES1162691442</v>
      </c>
      <c r="C3057" s="9">
        <v>43608</v>
      </c>
      <c r="D3057">
        <v>1</v>
      </c>
      <c r="E3057">
        <v>2170687457</v>
      </c>
      <c r="F3057" t="s">
        <v>16</v>
      </c>
      <c r="G3057" t="s">
        <v>17</v>
      </c>
      <c r="H3057" t="s">
        <v>43</v>
      </c>
      <c r="I3057" t="s">
        <v>44</v>
      </c>
      <c r="J3057" t="s">
        <v>1591</v>
      </c>
      <c r="K3057" s="9">
        <v>43609</v>
      </c>
      <c r="L3057" s="10">
        <v>0.45833333333333331</v>
      </c>
      <c r="M3057" t="s">
        <v>4022</v>
      </c>
      <c r="N3057" t="s">
        <v>4023</v>
      </c>
      <c r="O3057" t="s">
        <v>22</v>
      </c>
    </row>
    <row r="3058" spans="1:15" hidden="1">
      <c r="A3058" s="6" t="s">
        <v>15</v>
      </c>
      <c r="B3058" s="6" t="str">
        <f>"FES1162691581"</f>
        <v>FES1162691581</v>
      </c>
      <c r="C3058" s="7">
        <v>43608</v>
      </c>
      <c r="D3058" s="6">
        <v>1</v>
      </c>
      <c r="E3058" s="6">
        <v>21706888856</v>
      </c>
      <c r="F3058" s="6" t="s">
        <v>16</v>
      </c>
      <c r="G3058" s="6" t="s">
        <v>17</v>
      </c>
      <c r="H3058" s="6" t="s">
        <v>43</v>
      </c>
      <c r="I3058" s="6" t="s">
        <v>807</v>
      </c>
      <c r="J3058" s="6" t="s">
        <v>808</v>
      </c>
      <c r="K3058" s="7">
        <v>43609</v>
      </c>
      <c r="L3058" s="8">
        <v>0.50347222222222221</v>
      </c>
      <c r="M3058" s="6" t="s">
        <v>4024</v>
      </c>
      <c r="N3058" s="14" t="s">
        <v>21</v>
      </c>
      <c r="O3058" s="6" t="s">
        <v>22</v>
      </c>
    </row>
    <row r="3059" spans="1:15" hidden="1">
      <c r="A3059" s="6" t="s">
        <v>15</v>
      </c>
      <c r="B3059" s="6" t="str">
        <f>"FES1162691478"</f>
        <v>FES1162691478</v>
      </c>
      <c r="C3059" s="7">
        <v>43608</v>
      </c>
      <c r="D3059" s="6">
        <v>1</v>
      </c>
      <c r="E3059" s="6">
        <v>2170689838</v>
      </c>
      <c r="F3059" s="6" t="s">
        <v>16</v>
      </c>
      <c r="G3059" s="6" t="s">
        <v>17</v>
      </c>
      <c r="H3059" s="6" t="s">
        <v>43</v>
      </c>
      <c r="I3059" s="6" t="s">
        <v>75</v>
      </c>
      <c r="J3059" s="6" t="s">
        <v>76</v>
      </c>
      <c r="K3059" s="7">
        <v>43609</v>
      </c>
      <c r="L3059" s="8">
        <v>0.47986111111111113</v>
      </c>
      <c r="M3059" s="6" t="s">
        <v>663</v>
      </c>
      <c r="N3059" s="14" t="s">
        <v>21</v>
      </c>
      <c r="O3059" s="6" t="s">
        <v>22</v>
      </c>
    </row>
    <row r="3060" spans="1:15" hidden="1">
      <c r="A3060" s="6" t="s">
        <v>15</v>
      </c>
      <c r="B3060" s="6" t="str">
        <f>"FES1162691539"</f>
        <v>FES1162691539</v>
      </c>
      <c r="C3060" s="7">
        <v>43608</v>
      </c>
      <c r="D3060" s="6">
        <v>1</v>
      </c>
      <c r="E3060" s="6">
        <v>2170688035</v>
      </c>
      <c r="F3060" s="6" t="s">
        <v>16</v>
      </c>
      <c r="G3060" s="6" t="s">
        <v>17</v>
      </c>
      <c r="H3060" s="6" t="s">
        <v>43</v>
      </c>
      <c r="I3060" s="6" t="s">
        <v>44</v>
      </c>
      <c r="J3060" s="6" t="s">
        <v>72</v>
      </c>
      <c r="K3060" s="7">
        <v>43609</v>
      </c>
      <c r="L3060" s="8">
        <v>0.41805555555555557</v>
      </c>
      <c r="M3060" s="6" t="s">
        <v>1100</v>
      </c>
      <c r="N3060" s="14" t="s">
        <v>21</v>
      </c>
      <c r="O3060" s="6" t="s">
        <v>22</v>
      </c>
    </row>
    <row r="3061" spans="1:15" hidden="1">
      <c r="A3061" s="14" t="s">
        <v>15</v>
      </c>
      <c r="B3061" s="14" t="str">
        <f>"FES1162691484"</f>
        <v>FES1162691484</v>
      </c>
      <c r="C3061" s="15">
        <v>43608</v>
      </c>
      <c r="D3061" s="14">
        <v>1</v>
      </c>
      <c r="E3061" s="14">
        <v>21706849846</v>
      </c>
      <c r="F3061" s="14" t="s">
        <v>16</v>
      </c>
      <c r="G3061" s="14" t="s">
        <v>17</v>
      </c>
      <c r="H3061" s="14" t="s">
        <v>43</v>
      </c>
      <c r="I3061" s="14" t="s">
        <v>44</v>
      </c>
      <c r="J3061" s="14" t="s">
        <v>336</v>
      </c>
      <c r="K3061" s="15">
        <v>43609</v>
      </c>
      <c r="L3061" s="16">
        <v>0.36805555555555558</v>
      </c>
      <c r="M3061" s="14" t="s">
        <v>1502</v>
      </c>
      <c r="N3061" s="14" t="s">
        <v>21</v>
      </c>
      <c r="O3061" s="14" t="s">
        <v>22</v>
      </c>
    </row>
    <row r="3062" spans="1:15" hidden="1">
      <c r="A3062" s="20" t="s">
        <v>15</v>
      </c>
      <c r="B3062" s="20" t="str">
        <f>"FES1162691459"</f>
        <v>FES1162691459</v>
      </c>
      <c r="C3062" s="21">
        <v>43608</v>
      </c>
      <c r="D3062" s="20">
        <v>1</v>
      </c>
      <c r="E3062" s="20">
        <v>2170689343</v>
      </c>
      <c r="F3062" s="20" t="s">
        <v>16</v>
      </c>
      <c r="G3062" s="20" t="s">
        <v>17</v>
      </c>
      <c r="H3062" s="20" t="s">
        <v>141</v>
      </c>
      <c r="I3062" s="20" t="s">
        <v>142</v>
      </c>
      <c r="J3062" s="20" t="s">
        <v>4025</v>
      </c>
      <c r="K3062" s="21">
        <v>43609</v>
      </c>
      <c r="L3062" s="22">
        <v>0.33194444444444443</v>
      </c>
      <c r="M3062" s="20" t="s">
        <v>4026</v>
      </c>
      <c r="N3062" s="20" t="s">
        <v>21</v>
      </c>
      <c r="O3062" s="20" t="s">
        <v>22</v>
      </c>
    </row>
    <row r="3063" spans="1:15" hidden="1">
      <c r="A3063" s="20" t="s">
        <v>15</v>
      </c>
      <c r="B3063" s="20" t="str">
        <f>"FES1162691525"</f>
        <v>FES1162691525</v>
      </c>
      <c r="C3063" s="21">
        <v>43608</v>
      </c>
      <c r="D3063" s="20">
        <v>1</v>
      </c>
      <c r="E3063" s="20">
        <v>2170689754</v>
      </c>
      <c r="F3063" s="20" t="s">
        <v>16</v>
      </c>
      <c r="G3063" s="20" t="s">
        <v>17</v>
      </c>
      <c r="H3063" s="20" t="s">
        <v>32</v>
      </c>
      <c r="I3063" s="20" t="s">
        <v>342</v>
      </c>
      <c r="J3063" s="20" t="s">
        <v>949</v>
      </c>
      <c r="K3063" s="21">
        <v>43609</v>
      </c>
      <c r="L3063" s="22">
        <v>0.33333333333333331</v>
      </c>
      <c r="M3063" s="20" t="s">
        <v>4027</v>
      </c>
      <c r="N3063" s="20" t="s">
        <v>21</v>
      </c>
      <c r="O3063" s="20" t="s">
        <v>22</v>
      </c>
    </row>
    <row r="3064" spans="1:15" hidden="1">
      <c r="A3064" t="s">
        <v>15</v>
      </c>
      <c r="B3064" t="str">
        <f>"FES1162691432"</f>
        <v>FES1162691432</v>
      </c>
      <c r="C3064" s="9">
        <v>43608</v>
      </c>
      <c r="D3064">
        <v>1</v>
      </c>
      <c r="E3064">
        <v>2170689530</v>
      </c>
      <c r="F3064" t="s">
        <v>16</v>
      </c>
      <c r="G3064" t="s">
        <v>17</v>
      </c>
      <c r="H3064" t="s">
        <v>32</v>
      </c>
      <c r="I3064" t="s">
        <v>33</v>
      </c>
      <c r="J3064" t="s">
        <v>34</v>
      </c>
      <c r="K3064" s="9">
        <v>43609</v>
      </c>
      <c r="L3064" s="10">
        <v>0.38541666666666669</v>
      </c>
      <c r="M3064" t="s">
        <v>3880</v>
      </c>
      <c r="N3064" t="s">
        <v>4028</v>
      </c>
      <c r="O3064" t="s">
        <v>22</v>
      </c>
    </row>
    <row r="3065" spans="1:15" hidden="1">
      <c r="A3065" s="6" t="s">
        <v>15</v>
      </c>
      <c r="B3065" s="6" t="str">
        <f>"FES1162691444"</f>
        <v>FES1162691444</v>
      </c>
      <c r="C3065" s="7">
        <v>43608</v>
      </c>
      <c r="D3065" s="6">
        <v>1</v>
      </c>
      <c r="E3065" s="6">
        <v>2170688167</v>
      </c>
      <c r="F3065" s="6" t="s">
        <v>16</v>
      </c>
      <c r="G3065" s="6" t="s">
        <v>17</v>
      </c>
      <c r="H3065" s="6" t="s">
        <v>32</v>
      </c>
      <c r="I3065" s="6" t="s">
        <v>269</v>
      </c>
      <c r="J3065" s="6" t="s">
        <v>683</v>
      </c>
      <c r="K3065" s="7">
        <v>43609</v>
      </c>
      <c r="L3065" s="8">
        <v>0.34722222222222227</v>
      </c>
      <c r="M3065" s="6" t="s">
        <v>684</v>
      </c>
      <c r="N3065" s="14" t="s">
        <v>21</v>
      </c>
      <c r="O3065" s="6" t="s">
        <v>22</v>
      </c>
    </row>
    <row r="3066" spans="1:15" hidden="1">
      <c r="A3066" s="6" t="s">
        <v>15</v>
      </c>
      <c r="B3066" s="6" t="str">
        <f>"FES1162691481"</f>
        <v>FES1162691481</v>
      </c>
      <c r="C3066" s="7">
        <v>43608</v>
      </c>
      <c r="D3066" s="6">
        <v>1</v>
      </c>
      <c r="E3066" s="6">
        <v>2170689842</v>
      </c>
      <c r="F3066" s="6" t="s">
        <v>16</v>
      </c>
      <c r="G3066" s="6" t="s">
        <v>17</v>
      </c>
      <c r="H3066" s="6" t="s">
        <v>32</v>
      </c>
      <c r="I3066" s="6" t="s">
        <v>33</v>
      </c>
      <c r="J3066" s="6" t="s">
        <v>357</v>
      </c>
      <c r="K3066" s="7">
        <v>43609</v>
      </c>
      <c r="L3066" s="8">
        <v>0.38194444444444442</v>
      </c>
      <c r="M3066" s="6" t="s">
        <v>2201</v>
      </c>
      <c r="N3066" s="14" t="s">
        <v>21</v>
      </c>
      <c r="O3066" s="6" t="s">
        <v>22</v>
      </c>
    </row>
    <row r="3067" spans="1:15" hidden="1">
      <c r="A3067" s="6" t="s">
        <v>15</v>
      </c>
      <c r="B3067" s="6" t="str">
        <f>"FES1162691431"</f>
        <v>FES1162691431</v>
      </c>
      <c r="C3067" s="7">
        <v>43608</v>
      </c>
      <c r="D3067" s="6">
        <v>1</v>
      </c>
      <c r="E3067" s="6">
        <v>2170689544</v>
      </c>
      <c r="F3067" s="6" t="s">
        <v>16</v>
      </c>
      <c r="G3067" s="6" t="s">
        <v>17</v>
      </c>
      <c r="H3067" s="6" t="s">
        <v>32</v>
      </c>
      <c r="I3067" s="6" t="s">
        <v>33</v>
      </c>
      <c r="J3067" s="6" t="s">
        <v>34</v>
      </c>
      <c r="K3067" s="7">
        <v>43609</v>
      </c>
      <c r="L3067" s="8">
        <v>0.38750000000000001</v>
      </c>
      <c r="M3067" s="6" t="s">
        <v>3880</v>
      </c>
      <c r="N3067" s="14" t="s">
        <v>21</v>
      </c>
      <c r="O3067" s="6" t="s">
        <v>22</v>
      </c>
    </row>
    <row r="3068" spans="1:15" hidden="1">
      <c r="A3068" t="s">
        <v>15</v>
      </c>
      <c r="B3068" t="str">
        <f>"FES1162691479"</f>
        <v>FES1162691479</v>
      </c>
      <c r="C3068" s="9">
        <v>43608</v>
      </c>
      <c r="D3068">
        <v>1</v>
      </c>
      <c r="E3068">
        <v>2170689840</v>
      </c>
      <c r="F3068" t="s">
        <v>16</v>
      </c>
      <c r="G3068" t="s">
        <v>17</v>
      </c>
      <c r="H3068" t="s">
        <v>32</v>
      </c>
      <c r="I3068" t="s">
        <v>342</v>
      </c>
      <c r="J3068" t="s">
        <v>949</v>
      </c>
      <c r="K3068" s="9">
        <v>43609</v>
      </c>
      <c r="L3068" s="10">
        <v>0.33333333333333331</v>
      </c>
      <c r="M3068" t="s">
        <v>4027</v>
      </c>
      <c r="N3068" t="s">
        <v>4029</v>
      </c>
      <c r="O3068" t="s">
        <v>22</v>
      </c>
    </row>
    <row r="3069" spans="1:15" hidden="1">
      <c r="A3069" t="s">
        <v>15</v>
      </c>
      <c r="B3069" t="str">
        <f>"FES1162691597"</f>
        <v>FES1162691597</v>
      </c>
      <c r="C3069" s="9">
        <v>43608</v>
      </c>
      <c r="D3069">
        <v>1</v>
      </c>
      <c r="E3069">
        <v>2170689899</v>
      </c>
      <c r="F3069" t="s">
        <v>16</v>
      </c>
      <c r="G3069" t="s">
        <v>17</v>
      </c>
      <c r="H3069" t="s">
        <v>43</v>
      </c>
      <c r="I3069" t="s">
        <v>44</v>
      </c>
      <c r="J3069" t="s">
        <v>336</v>
      </c>
      <c r="K3069" s="9">
        <v>43609</v>
      </c>
      <c r="L3069" s="10">
        <v>0.36805555555555558</v>
      </c>
      <c r="M3069" t="s">
        <v>1502</v>
      </c>
      <c r="N3069" t="s">
        <v>4030</v>
      </c>
      <c r="O3069" t="s">
        <v>22</v>
      </c>
    </row>
    <row r="3070" spans="1:15" hidden="1">
      <c r="A3070" t="s">
        <v>15</v>
      </c>
      <c r="B3070" t="str">
        <f>"FES1162691489"</f>
        <v>FES1162691489</v>
      </c>
      <c r="C3070" s="9">
        <v>43608</v>
      </c>
      <c r="D3070">
        <v>1</v>
      </c>
      <c r="E3070">
        <v>2170689489</v>
      </c>
      <c r="F3070" t="s">
        <v>16</v>
      </c>
      <c r="G3070" t="s">
        <v>17</v>
      </c>
      <c r="H3070" t="s">
        <v>32</v>
      </c>
      <c r="I3070" t="s">
        <v>33</v>
      </c>
      <c r="J3070" t="s">
        <v>506</v>
      </c>
      <c r="K3070" s="9">
        <v>43609</v>
      </c>
      <c r="L3070" s="10">
        <v>0.3263888888888889</v>
      </c>
      <c r="M3070" t="s">
        <v>4031</v>
      </c>
      <c r="N3070" t="s">
        <v>4032</v>
      </c>
      <c r="O3070" t="s">
        <v>22</v>
      </c>
    </row>
    <row r="3071" spans="1:15" hidden="1">
      <c r="A3071" t="s">
        <v>15</v>
      </c>
      <c r="B3071" t="str">
        <f>"FES1162691628"</f>
        <v>FES1162691628</v>
      </c>
      <c r="C3071" s="9">
        <v>43608</v>
      </c>
      <c r="D3071">
        <v>1</v>
      </c>
      <c r="E3071">
        <v>2170689928</v>
      </c>
      <c r="F3071" t="s">
        <v>16</v>
      </c>
      <c r="G3071" t="s">
        <v>17</v>
      </c>
      <c r="H3071" t="s">
        <v>43</v>
      </c>
      <c r="I3071" t="s">
        <v>75</v>
      </c>
      <c r="J3071" t="s">
        <v>222</v>
      </c>
      <c r="K3071" s="9">
        <v>43609</v>
      </c>
      <c r="L3071" s="10">
        <v>0.4680555555555555</v>
      </c>
      <c r="M3071" t="s">
        <v>223</v>
      </c>
      <c r="N3071" t="s">
        <v>4033</v>
      </c>
      <c r="O3071" t="s">
        <v>22</v>
      </c>
    </row>
    <row r="3072" spans="1:15" hidden="1">
      <c r="A3072" t="s">
        <v>15</v>
      </c>
      <c r="B3072" t="str">
        <f>"FES1162691532"</f>
        <v>FES1162691532</v>
      </c>
      <c r="C3072" s="9">
        <v>43608</v>
      </c>
      <c r="D3072">
        <v>1</v>
      </c>
      <c r="E3072">
        <v>21706880077</v>
      </c>
      <c r="F3072" t="s">
        <v>16</v>
      </c>
      <c r="G3072" t="s">
        <v>17</v>
      </c>
      <c r="H3072" t="s">
        <v>37</v>
      </c>
      <c r="I3072" t="s">
        <v>38</v>
      </c>
      <c r="J3072" t="s">
        <v>766</v>
      </c>
      <c r="K3072" s="9">
        <v>43609</v>
      </c>
      <c r="L3072" s="10">
        <v>0.36041666666666666</v>
      </c>
      <c r="M3072" t="s">
        <v>1247</v>
      </c>
      <c r="N3072" t="s">
        <v>4034</v>
      </c>
      <c r="O3072" t="s">
        <v>22</v>
      </c>
    </row>
    <row r="3073" spans="1:15" hidden="1">
      <c r="A3073" t="s">
        <v>15</v>
      </c>
      <c r="B3073" t="str">
        <f>"FES1162691602"</f>
        <v>FES1162691602</v>
      </c>
      <c r="C3073" s="9">
        <v>43608</v>
      </c>
      <c r="D3073">
        <v>1</v>
      </c>
      <c r="E3073">
        <v>2170689906</v>
      </c>
      <c r="F3073" t="s">
        <v>16</v>
      </c>
      <c r="G3073" t="s">
        <v>17</v>
      </c>
      <c r="H3073" t="s">
        <v>43</v>
      </c>
      <c r="I3073" t="s">
        <v>44</v>
      </c>
      <c r="J3073" t="s">
        <v>231</v>
      </c>
      <c r="K3073" s="9">
        <v>43609</v>
      </c>
      <c r="L3073" s="10">
        <v>0.35555555555555557</v>
      </c>
      <c r="M3073" t="s">
        <v>232</v>
      </c>
      <c r="N3073" t="s">
        <v>4035</v>
      </c>
      <c r="O3073" t="s">
        <v>22</v>
      </c>
    </row>
    <row r="3074" spans="1:15" hidden="1">
      <c r="A3074" t="s">
        <v>15</v>
      </c>
      <c r="B3074" t="str">
        <f>"FES1162691508"</f>
        <v>FES1162691508</v>
      </c>
      <c r="C3074" s="9">
        <v>43608</v>
      </c>
      <c r="D3074">
        <v>1</v>
      </c>
      <c r="E3074">
        <v>2170689652</v>
      </c>
      <c r="F3074" t="s">
        <v>58</v>
      </c>
      <c r="G3074" t="s">
        <v>59</v>
      </c>
      <c r="H3074" t="s">
        <v>59</v>
      </c>
      <c r="I3074" t="s">
        <v>148</v>
      </c>
      <c r="J3074" t="s">
        <v>4036</v>
      </c>
      <c r="K3074" s="9">
        <v>43609</v>
      </c>
      <c r="L3074" s="10">
        <v>0.4236111111111111</v>
      </c>
      <c r="M3074" t="s">
        <v>4037</v>
      </c>
      <c r="N3074" t="s">
        <v>4038</v>
      </c>
      <c r="O3074" t="s">
        <v>22</v>
      </c>
    </row>
    <row r="3075" spans="1:15" hidden="1">
      <c r="A3075" t="s">
        <v>15</v>
      </c>
      <c r="B3075" t="str">
        <f>"FES1162691461"</f>
        <v>FES1162691461</v>
      </c>
      <c r="C3075" s="9">
        <v>43608</v>
      </c>
      <c r="D3075">
        <v>1</v>
      </c>
      <c r="E3075">
        <v>2170689590</v>
      </c>
      <c r="F3075" t="s">
        <v>16</v>
      </c>
      <c r="G3075" t="s">
        <v>17</v>
      </c>
      <c r="H3075" t="s">
        <v>37</v>
      </c>
      <c r="I3075" t="s">
        <v>38</v>
      </c>
      <c r="J3075" t="s">
        <v>1204</v>
      </c>
      <c r="K3075" s="9">
        <v>43609</v>
      </c>
      <c r="L3075" s="10">
        <v>0.41666666666666669</v>
      </c>
      <c r="M3075" t="s">
        <v>4039</v>
      </c>
      <c r="N3075" t="s">
        <v>4040</v>
      </c>
      <c r="O3075" t="s">
        <v>22</v>
      </c>
    </row>
    <row r="3076" spans="1:15" hidden="1">
      <c r="A3076" s="6" t="s">
        <v>15</v>
      </c>
      <c r="B3076" s="6" t="str">
        <f>"FES1162691457"</f>
        <v>FES1162691457</v>
      </c>
      <c r="C3076" s="7">
        <v>43608</v>
      </c>
      <c r="D3076" s="6">
        <v>1</v>
      </c>
      <c r="E3076" s="6">
        <v>2170689299</v>
      </c>
      <c r="F3076" s="6" t="s">
        <v>16</v>
      </c>
      <c r="G3076" s="6" t="s">
        <v>17</v>
      </c>
      <c r="H3076" s="6" t="s">
        <v>43</v>
      </c>
      <c r="I3076" s="6" t="s">
        <v>75</v>
      </c>
      <c r="J3076" s="6" t="s">
        <v>811</v>
      </c>
      <c r="K3076" s="7">
        <v>43609</v>
      </c>
      <c r="L3076" s="8">
        <v>0.47569444444444442</v>
      </c>
      <c r="M3076" s="6" t="s">
        <v>1167</v>
      </c>
      <c r="N3076" s="14" t="s">
        <v>21</v>
      </c>
      <c r="O3076" s="6" t="s">
        <v>22</v>
      </c>
    </row>
    <row r="3077" spans="1:15" hidden="1">
      <c r="A3077" t="s">
        <v>15</v>
      </c>
      <c r="B3077" t="str">
        <f>"FES1162688186"</f>
        <v>FES1162688186</v>
      </c>
      <c r="C3077" s="9">
        <v>43608</v>
      </c>
      <c r="D3077">
        <v>1</v>
      </c>
      <c r="E3077">
        <v>2170682160</v>
      </c>
      <c r="F3077" t="s">
        <v>16</v>
      </c>
      <c r="G3077" t="s">
        <v>17</v>
      </c>
      <c r="H3077" t="s">
        <v>32</v>
      </c>
      <c r="I3077" t="s">
        <v>33</v>
      </c>
      <c r="J3077" t="s">
        <v>34</v>
      </c>
      <c r="K3077" s="9">
        <v>43609</v>
      </c>
      <c r="L3077" s="10">
        <v>0.34375</v>
      </c>
      <c r="M3077" t="s">
        <v>3880</v>
      </c>
      <c r="N3077" t="s">
        <v>4041</v>
      </c>
      <c r="O3077" t="s">
        <v>22</v>
      </c>
    </row>
    <row r="3078" spans="1:15" hidden="1">
      <c r="A3078" t="s">
        <v>15</v>
      </c>
      <c r="B3078" t="str">
        <f>"FES1162688341"</f>
        <v>FES1162688341</v>
      </c>
      <c r="C3078" s="9">
        <v>43608</v>
      </c>
      <c r="D3078">
        <v>1</v>
      </c>
      <c r="E3078">
        <v>2170684794</v>
      </c>
      <c r="F3078" t="s">
        <v>16</v>
      </c>
      <c r="G3078" t="s">
        <v>17</v>
      </c>
      <c r="H3078" t="s">
        <v>32</v>
      </c>
      <c r="I3078" t="s">
        <v>33</v>
      </c>
      <c r="J3078" t="s">
        <v>34</v>
      </c>
      <c r="K3078" s="9">
        <v>43609</v>
      </c>
      <c r="L3078" s="10">
        <v>0.4909722222222222</v>
      </c>
      <c r="M3078" t="s">
        <v>3880</v>
      </c>
      <c r="N3078" t="s">
        <v>4042</v>
      </c>
      <c r="O3078" t="s">
        <v>22</v>
      </c>
    </row>
    <row r="3079" spans="1:15" hidden="1">
      <c r="A3079" t="s">
        <v>15</v>
      </c>
      <c r="B3079" t="str">
        <f>"FES1162691519"</f>
        <v>FES1162691519</v>
      </c>
      <c r="C3079" s="9">
        <v>43608</v>
      </c>
      <c r="D3079">
        <v>1</v>
      </c>
      <c r="E3079">
        <v>2170685963</v>
      </c>
      <c r="F3079" t="s">
        <v>16</v>
      </c>
      <c r="G3079" t="s">
        <v>17</v>
      </c>
      <c r="H3079" t="s">
        <v>43</v>
      </c>
      <c r="I3079" t="s">
        <v>44</v>
      </c>
      <c r="J3079" t="s">
        <v>48</v>
      </c>
      <c r="K3079" s="9">
        <v>43609</v>
      </c>
      <c r="L3079" s="10">
        <v>0.33263888888888887</v>
      </c>
      <c r="M3079" t="s">
        <v>1650</v>
      </c>
      <c r="N3079" t="s">
        <v>4043</v>
      </c>
      <c r="O3079" t="s">
        <v>22</v>
      </c>
    </row>
    <row r="3080" spans="1:15" hidden="1">
      <c r="A3080" t="s">
        <v>15</v>
      </c>
      <c r="B3080" t="str">
        <f>"FES1162691436"</f>
        <v>FES1162691436</v>
      </c>
      <c r="C3080" s="9">
        <v>43608</v>
      </c>
      <c r="D3080">
        <v>2</v>
      </c>
      <c r="E3080">
        <v>2170684601</v>
      </c>
      <c r="F3080" t="s">
        <v>58</v>
      </c>
      <c r="G3080" t="s">
        <v>59</v>
      </c>
      <c r="H3080" t="s">
        <v>43</v>
      </c>
      <c r="I3080" t="s">
        <v>75</v>
      </c>
      <c r="J3080" t="s">
        <v>811</v>
      </c>
      <c r="K3080" t="s">
        <v>1730</v>
      </c>
      <c r="L3080"/>
      <c r="M3080" t="s">
        <v>1731</v>
      </c>
      <c r="N3080" t="s">
        <v>4044</v>
      </c>
      <c r="O3080" t="s">
        <v>22</v>
      </c>
    </row>
    <row r="3081" spans="1:15" hidden="1">
      <c r="A3081" t="s">
        <v>15</v>
      </c>
      <c r="B3081" t="str">
        <f>"FES1162691430"</f>
        <v>FES1162691430</v>
      </c>
      <c r="C3081" s="9">
        <v>43608</v>
      </c>
      <c r="D3081">
        <v>1</v>
      </c>
      <c r="E3081">
        <v>2170689018</v>
      </c>
      <c r="F3081" t="s">
        <v>16</v>
      </c>
      <c r="G3081" t="s">
        <v>17</v>
      </c>
      <c r="H3081" t="s">
        <v>290</v>
      </c>
      <c r="I3081" t="s">
        <v>309</v>
      </c>
      <c r="J3081" t="s">
        <v>1037</v>
      </c>
      <c r="K3081" s="9">
        <v>43609</v>
      </c>
      <c r="L3081" s="10">
        <v>0.35416666666666669</v>
      </c>
      <c r="M3081" t="s">
        <v>1334</v>
      </c>
      <c r="N3081" t="s">
        <v>4045</v>
      </c>
      <c r="O3081" t="s">
        <v>22</v>
      </c>
    </row>
    <row r="3082" spans="1:15" hidden="1">
      <c r="A3082" t="s">
        <v>15</v>
      </c>
      <c r="B3082" t="str">
        <f>"FES1162691630"</f>
        <v>FES1162691630</v>
      </c>
      <c r="C3082" s="9">
        <v>43608</v>
      </c>
      <c r="D3082">
        <v>1</v>
      </c>
      <c r="E3082">
        <v>2170689937</v>
      </c>
      <c r="F3082" t="s">
        <v>16</v>
      </c>
      <c r="G3082" t="s">
        <v>17</v>
      </c>
      <c r="H3082" t="s">
        <v>43</v>
      </c>
      <c r="I3082" t="s">
        <v>44</v>
      </c>
      <c r="J3082" t="s">
        <v>938</v>
      </c>
      <c r="K3082" s="9">
        <v>43609</v>
      </c>
      <c r="L3082" s="10">
        <v>0.33958333333333335</v>
      </c>
      <c r="M3082" t="s">
        <v>939</v>
      </c>
      <c r="N3082" t="s">
        <v>4046</v>
      </c>
      <c r="O3082" t="s">
        <v>22</v>
      </c>
    </row>
    <row r="3083" spans="1:15" hidden="1">
      <c r="A3083" t="s">
        <v>15</v>
      </c>
      <c r="B3083" t="str">
        <f>"FES1162691448"</f>
        <v>FES1162691448</v>
      </c>
      <c r="C3083" s="9">
        <v>43608</v>
      </c>
      <c r="D3083">
        <v>1</v>
      </c>
      <c r="E3083">
        <v>2170688354</v>
      </c>
      <c r="F3083" t="s">
        <v>16</v>
      </c>
      <c r="G3083" t="s">
        <v>17</v>
      </c>
      <c r="H3083" t="s">
        <v>141</v>
      </c>
      <c r="I3083" t="s">
        <v>448</v>
      </c>
      <c r="J3083" t="s">
        <v>449</v>
      </c>
      <c r="K3083" s="9">
        <v>43609</v>
      </c>
      <c r="L3083" s="10">
        <v>0.34652777777777777</v>
      </c>
      <c r="M3083" t="s">
        <v>4047</v>
      </c>
      <c r="N3083" t="s">
        <v>4048</v>
      </c>
      <c r="O3083" t="s">
        <v>22</v>
      </c>
    </row>
    <row r="3084" spans="1:15" hidden="1">
      <c r="A3084" t="s">
        <v>15</v>
      </c>
      <c r="B3084" t="str">
        <f>"FES1162691450"</f>
        <v>FES1162691450</v>
      </c>
      <c r="C3084" s="9">
        <v>43608</v>
      </c>
      <c r="D3084">
        <v>1</v>
      </c>
      <c r="E3084">
        <v>21706878764</v>
      </c>
      <c r="F3084" t="s">
        <v>16</v>
      </c>
      <c r="G3084" t="s">
        <v>17</v>
      </c>
      <c r="H3084" t="s">
        <v>132</v>
      </c>
      <c r="I3084" t="s">
        <v>133</v>
      </c>
      <c r="J3084" t="s">
        <v>3274</v>
      </c>
      <c r="K3084" s="9">
        <v>43609</v>
      </c>
      <c r="L3084" s="10">
        <v>0.43194444444444446</v>
      </c>
      <c r="M3084" t="s">
        <v>3275</v>
      </c>
      <c r="N3084" t="s">
        <v>4049</v>
      </c>
      <c r="O3084" t="s">
        <v>22</v>
      </c>
    </row>
    <row r="3085" spans="1:15" hidden="1">
      <c r="A3085" t="s">
        <v>15</v>
      </c>
      <c r="B3085" t="str">
        <f>"FES1162691433"</f>
        <v>FES1162691433</v>
      </c>
      <c r="C3085" s="9">
        <v>43608</v>
      </c>
      <c r="D3085">
        <v>1</v>
      </c>
      <c r="E3085">
        <v>21706897261</v>
      </c>
      <c r="F3085" t="s">
        <v>16</v>
      </c>
      <c r="G3085" t="s">
        <v>17</v>
      </c>
      <c r="H3085" t="s">
        <v>141</v>
      </c>
      <c r="I3085" t="s">
        <v>142</v>
      </c>
      <c r="J3085" t="s">
        <v>3921</v>
      </c>
      <c r="K3085" s="9">
        <v>43609</v>
      </c>
      <c r="L3085" s="10">
        <v>0.4236111111111111</v>
      </c>
      <c r="M3085" t="s">
        <v>4050</v>
      </c>
      <c r="N3085" t="s">
        <v>4051</v>
      </c>
      <c r="O3085" t="s">
        <v>22</v>
      </c>
    </row>
    <row r="3086" spans="1:15" hidden="1">
      <c r="A3086" s="6" t="s">
        <v>15</v>
      </c>
      <c r="B3086" s="6" t="str">
        <f>"FES1162691458"</f>
        <v>FES1162691458</v>
      </c>
      <c r="C3086" s="7">
        <v>43608</v>
      </c>
      <c r="D3086" s="6">
        <v>1</v>
      </c>
      <c r="E3086" s="6">
        <v>2170689326</v>
      </c>
      <c r="F3086" s="6" t="s">
        <v>16</v>
      </c>
      <c r="G3086" s="6" t="s">
        <v>17</v>
      </c>
      <c r="H3086" s="6" t="s">
        <v>32</v>
      </c>
      <c r="I3086" s="6" t="s">
        <v>269</v>
      </c>
      <c r="J3086" s="6" t="s">
        <v>1568</v>
      </c>
      <c r="K3086" s="7">
        <v>43609</v>
      </c>
      <c r="L3086" s="8">
        <v>0.3444444444444445</v>
      </c>
      <c r="M3086" s="6" t="s">
        <v>1114</v>
      </c>
      <c r="N3086" s="14" t="s">
        <v>21</v>
      </c>
      <c r="O3086" s="6" t="s">
        <v>22</v>
      </c>
    </row>
    <row r="3087" spans="1:15" hidden="1">
      <c r="A3087" s="6" t="s">
        <v>15</v>
      </c>
      <c r="B3087" s="6" t="str">
        <f>"FES1162691600"</f>
        <v>FES1162691600</v>
      </c>
      <c r="C3087" s="7">
        <v>43608</v>
      </c>
      <c r="D3087" s="6">
        <v>1</v>
      </c>
      <c r="E3087" s="6">
        <v>2170689902</v>
      </c>
      <c r="F3087" s="6" t="s">
        <v>16</v>
      </c>
      <c r="G3087" s="6" t="s">
        <v>17</v>
      </c>
      <c r="H3087" s="6" t="s">
        <v>32</v>
      </c>
      <c r="I3087" s="6" t="s">
        <v>33</v>
      </c>
      <c r="J3087" s="6" t="s">
        <v>3223</v>
      </c>
      <c r="K3087" s="7">
        <v>43609</v>
      </c>
      <c r="L3087" s="8">
        <v>0.35833333333333334</v>
      </c>
      <c r="M3087" s="6" t="s">
        <v>3656</v>
      </c>
      <c r="N3087" s="14" t="s">
        <v>21</v>
      </c>
      <c r="O3087" s="6" t="s">
        <v>22</v>
      </c>
    </row>
    <row r="3088" spans="1:15" hidden="1">
      <c r="A3088" s="6" t="s">
        <v>15</v>
      </c>
      <c r="B3088" s="6" t="str">
        <f>"FES1162691663"</f>
        <v>FES1162691663</v>
      </c>
      <c r="C3088" s="7">
        <v>43608</v>
      </c>
      <c r="D3088" s="6">
        <v>1</v>
      </c>
      <c r="E3088" s="6">
        <v>2170689967</v>
      </c>
      <c r="F3088" s="6" t="s">
        <v>16</v>
      </c>
      <c r="G3088" s="6" t="s">
        <v>17</v>
      </c>
      <c r="H3088" s="6" t="s">
        <v>141</v>
      </c>
      <c r="I3088" s="6" t="s">
        <v>185</v>
      </c>
      <c r="J3088" s="6" t="s">
        <v>353</v>
      </c>
      <c r="K3088" s="7">
        <v>43609</v>
      </c>
      <c r="L3088" s="8">
        <v>0.37708333333333338</v>
      </c>
      <c r="M3088" s="6" t="s">
        <v>1272</v>
      </c>
      <c r="N3088" s="14" t="s">
        <v>21</v>
      </c>
      <c r="O3088" s="6" t="s">
        <v>22</v>
      </c>
    </row>
    <row r="3089" spans="1:15" hidden="1">
      <c r="A3089" s="14" t="s">
        <v>15</v>
      </c>
      <c r="B3089" s="14" t="str">
        <f>"FES1162691613"</f>
        <v>FES1162691613</v>
      </c>
      <c r="C3089" s="15">
        <v>43608</v>
      </c>
      <c r="D3089" s="14">
        <v>1</v>
      </c>
      <c r="E3089" s="14">
        <v>2170689918</v>
      </c>
      <c r="F3089" s="14" t="s">
        <v>16</v>
      </c>
      <c r="G3089" s="14" t="s">
        <v>17</v>
      </c>
      <c r="H3089" s="14" t="s">
        <v>43</v>
      </c>
      <c r="I3089" s="14" t="s">
        <v>44</v>
      </c>
      <c r="J3089" s="14" t="s">
        <v>48</v>
      </c>
      <c r="K3089" s="15">
        <v>43609</v>
      </c>
      <c r="L3089" s="16">
        <v>0.33263888888888887</v>
      </c>
      <c r="M3089" s="14" t="s">
        <v>1650</v>
      </c>
      <c r="N3089" s="14" t="s">
        <v>21</v>
      </c>
      <c r="O3089" s="14" t="s">
        <v>22</v>
      </c>
    </row>
    <row r="3090" spans="1:15" hidden="1">
      <c r="A3090" t="s">
        <v>15</v>
      </c>
      <c r="B3090" t="str">
        <f>"FES1162691443"</f>
        <v>FES1162691443</v>
      </c>
      <c r="C3090" s="9">
        <v>43608</v>
      </c>
      <c r="D3090">
        <v>1</v>
      </c>
      <c r="E3090">
        <v>2170687514</v>
      </c>
      <c r="F3090" t="s">
        <v>16</v>
      </c>
      <c r="G3090" t="s">
        <v>17</v>
      </c>
      <c r="H3090" t="s">
        <v>59</v>
      </c>
      <c r="I3090" t="s">
        <v>18</v>
      </c>
      <c r="J3090" t="s">
        <v>3870</v>
      </c>
      <c r="K3090" s="9">
        <v>43609</v>
      </c>
      <c r="L3090" s="10">
        <v>0.33333333333333331</v>
      </c>
      <c r="M3090" t="s">
        <v>4052</v>
      </c>
      <c r="N3090" t="s">
        <v>4053</v>
      </c>
      <c r="O3090" t="s">
        <v>22</v>
      </c>
    </row>
    <row r="3091" spans="1:15" hidden="1">
      <c r="A3091" s="3" t="s">
        <v>15</v>
      </c>
      <c r="B3091" s="3" t="str">
        <f>"FES1162691612"</f>
        <v>FES1162691612</v>
      </c>
      <c r="C3091" s="4">
        <v>43608</v>
      </c>
      <c r="D3091" s="3">
        <v>1</v>
      </c>
      <c r="E3091" s="3">
        <v>2170689917</v>
      </c>
      <c r="F3091" s="3" t="s">
        <v>16</v>
      </c>
      <c r="G3091" s="3" t="s">
        <v>17</v>
      </c>
      <c r="H3091" s="3" t="s">
        <v>43</v>
      </c>
      <c r="I3091" s="3" t="s">
        <v>44</v>
      </c>
      <c r="J3091" s="3" t="s">
        <v>748</v>
      </c>
      <c r="K3091" s="4">
        <v>43609</v>
      </c>
      <c r="L3091" s="5">
        <v>0.41666666666666669</v>
      </c>
      <c r="M3091" s="3" t="s">
        <v>3834</v>
      </c>
      <c r="N3091" s="20" t="s">
        <v>21</v>
      </c>
      <c r="O3091" s="3" t="s">
        <v>22</v>
      </c>
    </row>
    <row r="3092" spans="1:15" hidden="1">
      <c r="A3092" s="6" t="s">
        <v>15</v>
      </c>
      <c r="B3092" s="6" t="str">
        <f>"FES1162691611"</f>
        <v>FES1162691611</v>
      </c>
      <c r="C3092" s="7">
        <v>43608</v>
      </c>
      <c r="D3092" s="6">
        <v>1</v>
      </c>
      <c r="E3092" s="6">
        <v>2170689913</v>
      </c>
      <c r="F3092" s="6" t="s">
        <v>16</v>
      </c>
      <c r="G3092" s="6" t="s">
        <v>17</v>
      </c>
      <c r="H3092" s="6" t="s">
        <v>43</v>
      </c>
      <c r="I3092" s="6" t="s">
        <v>44</v>
      </c>
      <c r="J3092" s="6" t="s">
        <v>336</v>
      </c>
      <c r="K3092" s="7">
        <v>43609</v>
      </c>
      <c r="L3092" s="8">
        <v>0.3666666666666667</v>
      </c>
      <c r="M3092" s="6" t="s">
        <v>1502</v>
      </c>
      <c r="N3092" s="14" t="s">
        <v>21</v>
      </c>
      <c r="O3092" s="6" t="s">
        <v>22</v>
      </c>
    </row>
    <row r="3093" spans="1:15" hidden="1">
      <c r="A3093" s="14" t="s">
        <v>15</v>
      </c>
      <c r="B3093" s="14" t="str">
        <f>"FES1162691590"</f>
        <v>FES1162691590</v>
      </c>
      <c r="C3093" s="15">
        <v>43608</v>
      </c>
      <c r="D3093" s="14">
        <v>1</v>
      </c>
      <c r="E3093" s="14">
        <v>2170689895</v>
      </c>
      <c r="F3093" s="14" t="s">
        <v>58</v>
      </c>
      <c r="G3093" s="14" t="s">
        <v>59</v>
      </c>
      <c r="H3093" s="14" t="s">
        <v>59</v>
      </c>
      <c r="I3093" s="14" t="s">
        <v>64</v>
      </c>
      <c r="J3093" s="14" t="s">
        <v>65</v>
      </c>
      <c r="K3093" s="15">
        <v>43609</v>
      </c>
      <c r="L3093" s="16">
        <v>0.42499999999999999</v>
      </c>
      <c r="M3093" s="14" t="s">
        <v>4054</v>
      </c>
      <c r="N3093" s="14" t="s">
        <v>21</v>
      </c>
      <c r="O3093" s="14" t="s">
        <v>22</v>
      </c>
    </row>
    <row r="3094" spans="1:15" hidden="1">
      <c r="A3094" s="20" t="s">
        <v>15</v>
      </c>
      <c r="B3094" s="20" t="str">
        <f>"FES1162691497"</f>
        <v>FES1162691497</v>
      </c>
      <c r="C3094" s="21">
        <v>43608</v>
      </c>
      <c r="D3094" s="20">
        <v>1</v>
      </c>
      <c r="E3094" s="20">
        <v>2170689866</v>
      </c>
      <c r="F3094" s="20" t="s">
        <v>16</v>
      </c>
      <c r="G3094" s="20" t="s">
        <v>17</v>
      </c>
      <c r="H3094" s="20" t="s">
        <v>32</v>
      </c>
      <c r="I3094" s="20" t="s">
        <v>342</v>
      </c>
      <c r="J3094" s="20" t="s">
        <v>343</v>
      </c>
      <c r="K3094" s="21">
        <v>43609</v>
      </c>
      <c r="L3094" s="22">
        <v>0.35625000000000001</v>
      </c>
      <c r="M3094" s="20" t="s">
        <v>4055</v>
      </c>
      <c r="N3094" s="20" t="s">
        <v>21</v>
      </c>
      <c r="O3094" s="20" t="s">
        <v>22</v>
      </c>
    </row>
    <row r="3095" spans="1:15" hidden="1">
      <c r="A3095" t="s">
        <v>15</v>
      </c>
      <c r="B3095" t="str">
        <f>"FES1162691654"</f>
        <v>FES1162691654</v>
      </c>
      <c r="C3095" s="9">
        <v>43608</v>
      </c>
      <c r="D3095">
        <v>1</v>
      </c>
      <c r="E3095">
        <v>2170689960</v>
      </c>
      <c r="F3095" t="s">
        <v>16</v>
      </c>
      <c r="G3095" t="s">
        <v>17</v>
      </c>
      <c r="H3095" t="s">
        <v>43</v>
      </c>
      <c r="I3095" t="s">
        <v>44</v>
      </c>
      <c r="J3095" t="s">
        <v>2509</v>
      </c>
      <c r="K3095" s="9">
        <v>43609</v>
      </c>
      <c r="L3095" s="10">
        <v>0.35833333333333334</v>
      </c>
      <c r="M3095" t="s">
        <v>4018</v>
      </c>
      <c r="N3095" t="s">
        <v>4056</v>
      </c>
      <c r="O3095" t="s">
        <v>22</v>
      </c>
    </row>
    <row r="3096" spans="1:15" hidden="1">
      <c r="A3096" t="s">
        <v>15</v>
      </c>
      <c r="B3096" t="str">
        <f>"FES1162691647"</f>
        <v>FES1162691647</v>
      </c>
      <c r="C3096" s="9">
        <v>43608</v>
      </c>
      <c r="D3096">
        <v>1</v>
      </c>
      <c r="E3096">
        <v>2170689950</v>
      </c>
      <c r="F3096" t="s">
        <v>16</v>
      </c>
      <c r="G3096" t="s">
        <v>17</v>
      </c>
      <c r="H3096" t="s">
        <v>43</v>
      </c>
      <c r="I3096" t="s">
        <v>44</v>
      </c>
      <c r="J3096" t="s">
        <v>2509</v>
      </c>
      <c r="K3096" s="9">
        <v>43609</v>
      </c>
      <c r="L3096" s="10">
        <v>0.35833333333333334</v>
      </c>
      <c r="M3096" t="s">
        <v>4018</v>
      </c>
      <c r="N3096" t="s">
        <v>4057</v>
      </c>
      <c r="O3096" t="s">
        <v>22</v>
      </c>
    </row>
    <row r="3097" spans="1:15" hidden="1">
      <c r="A3097" t="s">
        <v>15</v>
      </c>
      <c r="B3097" t="str">
        <f>"FES1162691642"</f>
        <v>FES1162691642</v>
      </c>
      <c r="C3097" s="9">
        <v>43608</v>
      </c>
      <c r="D3097">
        <v>1</v>
      </c>
      <c r="E3097">
        <v>2170688447</v>
      </c>
      <c r="F3097" t="s">
        <v>16</v>
      </c>
      <c r="G3097" t="s">
        <v>17</v>
      </c>
      <c r="H3097" t="s">
        <v>43</v>
      </c>
      <c r="I3097" t="s">
        <v>44</v>
      </c>
      <c r="J3097" t="s">
        <v>938</v>
      </c>
      <c r="K3097" s="9">
        <v>43609</v>
      </c>
      <c r="L3097" s="10">
        <v>0.33958333333333335</v>
      </c>
      <c r="M3097" t="s">
        <v>939</v>
      </c>
      <c r="N3097" t="s">
        <v>4058</v>
      </c>
      <c r="O3097" t="s">
        <v>22</v>
      </c>
    </row>
    <row r="3098" spans="1:15" hidden="1">
      <c r="A3098" t="s">
        <v>15</v>
      </c>
      <c r="B3098" t="str">
        <f>"FES1162691517"</f>
        <v>FES1162691517</v>
      </c>
      <c r="C3098" s="9">
        <v>43608</v>
      </c>
      <c r="D3098">
        <v>1</v>
      </c>
      <c r="E3098">
        <v>2170680828</v>
      </c>
      <c r="F3098" t="s">
        <v>16</v>
      </c>
      <c r="G3098" t="s">
        <v>17</v>
      </c>
      <c r="H3098" t="s">
        <v>290</v>
      </c>
      <c r="I3098" t="s">
        <v>291</v>
      </c>
      <c r="J3098" t="s">
        <v>541</v>
      </c>
      <c r="K3098" s="9">
        <v>43609</v>
      </c>
      <c r="L3098" s="10">
        <v>0.37847222222222227</v>
      </c>
      <c r="M3098" t="s">
        <v>4059</v>
      </c>
      <c r="N3098" t="s">
        <v>4060</v>
      </c>
      <c r="O3098" t="s">
        <v>22</v>
      </c>
    </row>
    <row r="3099" spans="1:15" hidden="1">
      <c r="A3099" t="s">
        <v>15</v>
      </c>
      <c r="B3099" t="str">
        <f>"FES1162691435"</f>
        <v>FES1162691435</v>
      </c>
      <c r="C3099" s="9">
        <v>43608</v>
      </c>
      <c r="D3099">
        <v>1</v>
      </c>
      <c r="E3099">
        <v>2170684163</v>
      </c>
      <c r="F3099" t="s">
        <v>16</v>
      </c>
      <c r="G3099" t="s">
        <v>17</v>
      </c>
      <c r="H3099" t="s">
        <v>290</v>
      </c>
      <c r="I3099" t="s">
        <v>291</v>
      </c>
      <c r="J3099" t="s">
        <v>1744</v>
      </c>
      <c r="K3099" s="9">
        <v>43609</v>
      </c>
      <c r="L3099" s="10">
        <v>0.35416666666666669</v>
      </c>
      <c r="M3099" t="s">
        <v>1334</v>
      </c>
      <c r="N3099" t="s">
        <v>4061</v>
      </c>
      <c r="O3099" t="s">
        <v>22</v>
      </c>
    </row>
    <row r="3100" spans="1:15" hidden="1">
      <c r="A3100" t="s">
        <v>15</v>
      </c>
      <c r="B3100" t="str">
        <f>"FES1162691452"</f>
        <v>FES1162691452</v>
      </c>
      <c r="C3100" s="9">
        <v>43608</v>
      </c>
      <c r="D3100">
        <v>1</v>
      </c>
      <c r="E3100">
        <v>2170688908</v>
      </c>
      <c r="F3100" t="s">
        <v>16</v>
      </c>
      <c r="G3100" t="s">
        <v>17</v>
      </c>
      <c r="H3100" t="s">
        <v>440</v>
      </c>
      <c r="I3100" t="s">
        <v>441</v>
      </c>
      <c r="J3100" t="s">
        <v>317</v>
      </c>
      <c r="K3100" s="9">
        <v>43609</v>
      </c>
      <c r="L3100" s="10">
        <v>0.39583333333333331</v>
      </c>
      <c r="M3100" t="s">
        <v>444</v>
      </c>
      <c r="N3100" t="s">
        <v>4062</v>
      </c>
      <c r="O3100" t="s">
        <v>22</v>
      </c>
    </row>
    <row r="3101" spans="1:15" hidden="1">
      <c r="A3101" s="6" t="s">
        <v>15</v>
      </c>
      <c r="B3101" s="6" t="str">
        <f>"FES1162691507"</f>
        <v>FES1162691507</v>
      </c>
      <c r="C3101" s="7">
        <v>43608</v>
      </c>
      <c r="D3101" s="6">
        <v>1</v>
      </c>
      <c r="E3101" s="6">
        <v>2170687633</v>
      </c>
      <c r="F3101" s="6" t="s">
        <v>16</v>
      </c>
      <c r="G3101" s="6" t="s">
        <v>17</v>
      </c>
      <c r="H3101" s="6" t="s">
        <v>290</v>
      </c>
      <c r="I3101" s="6" t="s">
        <v>291</v>
      </c>
      <c r="J3101" s="6" t="s">
        <v>4063</v>
      </c>
      <c r="K3101" s="7">
        <v>43609</v>
      </c>
      <c r="L3101" s="8">
        <v>0.40625</v>
      </c>
      <c r="M3101" s="6" t="s">
        <v>4039</v>
      </c>
      <c r="N3101" s="14" t="s">
        <v>21</v>
      </c>
      <c r="O3101" s="6" t="s">
        <v>22</v>
      </c>
    </row>
    <row r="3102" spans="1:15" hidden="1">
      <c r="A3102" s="6" t="s">
        <v>15</v>
      </c>
      <c r="B3102" s="6" t="str">
        <f>"FES1162691449"</f>
        <v>FES1162691449</v>
      </c>
      <c r="C3102" s="7">
        <v>43608</v>
      </c>
      <c r="D3102" s="6">
        <v>1</v>
      </c>
      <c r="E3102" s="6">
        <v>2170688761</v>
      </c>
      <c r="F3102" s="6" t="s">
        <v>16</v>
      </c>
      <c r="G3102" s="6" t="s">
        <v>17</v>
      </c>
      <c r="H3102" s="6" t="s">
        <v>290</v>
      </c>
      <c r="I3102" s="6" t="s">
        <v>309</v>
      </c>
      <c r="J3102" s="6" t="s">
        <v>1301</v>
      </c>
      <c r="K3102" s="7">
        <v>43609</v>
      </c>
      <c r="L3102" s="8">
        <v>0.41666666666666669</v>
      </c>
      <c r="M3102" s="6" t="s">
        <v>4064</v>
      </c>
      <c r="N3102" s="14" t="s">
        <v>21</v>
      </c>
      <c r="O3102" s="6" t="s">
        <v>22</v>
      </c>
    </row>
    <row r="3103" spans="1:15" hidden="1">
      <c r="A3103" t="s">
        <v>15</v>
      </c>
      <c r="B3103" t="str">
        <f>"FES1162691439"</f>
        <v>FES1162691439</v>
      </c>
      <c r="C3103" s="9">
        <v>43608</v>
      </c>
      <c r="D3103">
        <v>1</v>
      </c>
      <c r="E3103">
        <v>2170687157</v>
      </c>
      <c r="F3103" t="s">
        <v>16</v>
      </c>
      <c r="G3103" t="s">
        <v>17</v>
      </c>
      <c r="H3103" t="s">
        <v>290</v>
      </c>
      <c r="I3103" t="s">
        <v>291</v>
      </c>
      <c r="J3103" t="s">
        <v>3670</v>
      </c>
      <c r="K3103" s="9">
        <v>43609</v>
      </c>
      <c r="L3103" s="10">
        <v>0.41666666666666669</v>
      </c>
      <c r="M3103" t="s">
        <v>4065</v>
      </c>
      <c r="N3103" t="s">
        <v>4066</v>
      </c>
      <c r="O3103" t="s">
        <v>22</v>
      </c>
    </row>
    <row r="3104" spans="1:15" hidden="1">
      <c r="A3104" t="s">
        <v>15</v>
      </c>
      <c r="B3104" t="str">
        <f>"FES1162691509"</f>
        <v>FES1162691509</v>
      </c>
      <c r="C3104" s="9">
        <v>43608</v>
      </c>
      <c r="D3104">
        <v>1</v>
      </c>
      <c r="E3104">
        <v>2170689877</v>
      </c>
      <c r="F3104" t="s">
        <v>16</v>
      </c>
      <c r="G3104" t="s">
        <v>17</v>
      </c>
      <c r="H3104" t="s">
        <v>290</v>
      </c>
      <c r="I3104" t="s">
        <v>601</v>
      </c>
      <c r="J3104" t="s">
        <v>602</v>
      </c>
      <c r="K3104" t="s">
        <v>1730</v>
      </c>
      <c r="L3104"/>
      <c r="M3104" t="s">
        <v>1731</v>
      </c>
      <c r="N3104" t="s">
        <v>4067</v>
      </c>
      <c r="O3104" t="s">
        <v>22</v>
      </c>
    </row>
    <row r="3105" spans="1:15" hidden="1">
      <c r="A3105" s="3" t="s">
        <v>15</v>
      </c>
      <c r="B3105" s="3" t="str">
        <f>"FES1162691592"</f>
        <v>FES1162691592</v>
      </c>
      <c r="C3105" s="4">
        <v>43608</v>
      </c>
      <c r="D3105" s="3">
        <v>1</v>
      </c>
      <c r="E3105" s="3">
        <v>2170689893</v>
      </c>
      <c r="F3105" s="3" t="s">
        <v>16</v>
      </c>
      <c r="G3105" s="3" t="s">
        <v>17</v>
      </c>
      <c r="H3105" s="3" t="s">
        <v>290</v>
      </c>
      <c r="I3105" s="3" t="s">
        <v>291</v>
      </c>
      <c r="J3105" s="3" t="s">
        <v>4068</v>
      </c>
      <c r="K3105" s="4">
        <v>43609</v>
      </c>
      <c r="L3105" s="5">
        <v>0.40902777777777777</v>
      </c>
      <c r="M3105" s="3" t="s">
        <v>2602</v>
      </c>
      <c r="N3105" s="20" t="s">
        <v>21</v>
      </c>
      <c r="O3105" s="3" t="s">
        <v>22</v>
      </c>
    </row>
    <row r="3106" spans="1:15" hidden="1">
      <c r="A3106" s="6" t="s">
        <v>15</v>
      </c>
      <c r="B3106" s="6" t="str">
        <f>"FES1162691476"</f>
        <v>FES1162691476</v>
      </c>
      <c r="C3106" s="7">
        <v>43608</v>
      </c>
      <c r="D3106" s="6">
        <v>1</v>
      </c>
      <c r="E3106" s="6">
        <v>2170689835</v>
      </c>
      <c r="F3106" s="6" t="s">
        <v>16</v>
      </c>
      <c r="G3106" s="6" t="s">
        <v>17</v>
      </c>
      <c r="H3106" s="6" t="s">
        <v>290</v>
      </c>
      <c r="I3106" s="6" t="s">
        <v>601</v>
      </c>
      <c r="J3106" s="6" t="s">
        <v>4069</v>
      </c>
      <c r="K3106" s="7">
        <v>43609</v>
      </c>
      <c r="L3106" s="8">
        <v>0.59513888888888888</v>
      </c>
      <c r="M3106" s="6" t="s">
        <v>4070</v>
      </c>
      <c r="N3106" s="14" t="s">
        <v>21</v>
      </c>
      <c r="O3106" s="6" t="s">
        <v>22</v>
      </c>
    </row>
    <row r="3107" spans="1:15" hidden="1">
      <c r="A3107" s="14" t="s">
        <v>15</v>
      </c>
      <c r="B3107" s="14" t="str">
        <f>"FES1162691438"</f>
        <v>FES1162691438</v>
      </c>
      <c r="C3107" s="15">
        <v>43608</v>
      </c>
      <c r="D3107" s="14">
        <v>1</v>
      </c>
      <c r="E3107" s="14">
        <v>2170686543</v>
      </c>
      <c r="F3107" s="14" t="s">
        <v>16</v>
      </c>
      <c r="G3107" s="14" t="s">
        <v>17</v>
      </c>
      <c r="H3107" s="14" t="s">
        <v>300</v>
      </c>
      <c r="I3107" s="14" t="s">
        <v>301</v>
      </c>
      <c r="J3107" s="14" t="s">
        <v>3781</v>
      </c>
      <c r="K3107" s="15">
        <v>43609</v>
      </c>
      <c r="L3107" s="16">
        <v>0.375</v>
      </c>
      <c r="M3107" s="14" t="s">
        <v>1019</v>
      </c>
      <c r="N3107" s="14" t="s">
        <v>21</v>
      </c>
      <c r="O3107" s="14" t="s">
        <v>22</v>
      </c>
    </row>
    <row r="3108" spans="1:15" hidden="1">
      <c r="A3108" t="s">
        <v>15</v>
      </c>
      <c r="B3108" t="str">
        <f>"FES1162691603"</f>
        <v>FES1162691603</v>
      </c>
      <c r="C3108" s="9">
        <v>43608</v>
      </c>
      <c r="D3108">
        <v>1</v>
      </c>
      <c r="E3108">
        <v>2170689907</v>
      </c>
      <c r="F3108" t="s">
        <v>16</v>
      </c>
      <c r="G3108" t="s">
        <v>17</v>
      </c>
      <c r="H3108" t="s">
        <v>290</v>
      </c>
      <c r="I3108" t="s">
        <v>291</v>
      </c>
      <c r="J3108" t="s">
        <v>1030</v>
      </c>
      <c r="K3108" s="9">
        <v>43609</v>
      </c>
      <c r="L3108" s="10">
        <v>0.375</v>
      </c>
      <c r="M3108" t="s">
        <v>4071</v>
      </c>
      <c r="N3108" t="s">
        <v>4072</v>
      </c>
      <c r="O3108" t="s">
        <v>22</v>
      </c>
    </row>
    <row r="3109" spans="1:15" hidden="1">
      <c r="A3109" t="s">
        <v>15</v>
      </c>
      <c r="B3109" t="str">
        <f>"FES1162691474"</f>
        <v>FES1162691474</v>
      </c>
      <c r="C3109" s="9">
        <v>43608</v>
      </c>
      <c r="D3109">
        <v>1</v>
      </c>
      <c r="E3109">
        <v>2170689824</v>
      </c>
      <c r="F3109" t="s">
        <v>16</v>
      </c>
      <c r="G3109" t="s">
        <v>17</v>
      </c>
      <c r="H3109" t="s">
        <v>141</v>
      </c>
      <c r="I3109" t="s">
        <v>142</v>
      </c>
      <c r="J3109" t="s">
        <v>3843</v>
      </c>
      <c r="K3109" s="9">
        <v>43609</v>
      </c>
      <c r="L3109" s="10">
        <v>0.39652777777777781</v>
      </c>
      <c r="M3109" t="s">
        <v>4073</v>
      </c>
      <c r="N3109" t="s">
        <v>4074</v>
      </c>
      <c r="O3109" t="s">
        <v>22</v>
      </c>
    </row>
    <row r="3110" spans="1:15" hidden="1">
      <c r="A3110" t="s">
        <v>15</v>
      </c>
      <c r="B3110" t="str">
        <f>"FES1162691670"</f>
        <v>FES1162691670</v>
      </c>
      <c r="C3110" s="9">
        <v>43608</v>
      </c>
      <c r="D3110">
        <v>1</v>
      </c>
      <c r="E3110">
        <v>2170689978</v>
      </c>
      <c r="F3110" t="s">
        <v>16</v>
      </c>
      <c r="G3110" t="s">
        <v>17</v>
      </c>
      <c r="H3110" t="s">
        <v>425</v>
      </c>
      <c r="I3110" t="s">
        <v>426</v>
      </c>
      <c r="J3110" t="s">
        <v>783</v>
      </c>
      <c r="K3110" s="9">
        <v>43609</v>
      </c>
      <c r="L3110" s="10">
        <v>0.40138888888888885</v>
      </c>
      <c r="M3110" t="s">
        <v>937</v>
      </c>
      <c r="N3110" t="s">
        <v>4075</v>
      </c>
      <c r="O3110" t="s">
        <v>22</v>
      </c>
    </row>
    <row r="3111" spans="1:15" hidden="1">
      <c r="A3111" t="s">
        <v>15</v>
      </c>
      <c r="B3111" t="str">
        <f>"FES1162691676"</f>
        <v>FES1162691676</v>
      </c>
      <c r="C3111" s="9">
        <v>43608</v>
      </c>
      <c r="D3111">
        <v>1</v>
      </c>
      <c r="E3111">
        <v>2170689988</v>
      </c>
      <c r="F3111" t="s">
        <v>16</v>
      </c>
      <c r="G3111" t="s">
        <v>17</v>
      </c>
      <c r="H3111" t="s">
        <v>43</v>
      </c>
      <c r="I3111" t="s">
        <v>44</v>
      </c>
      <c r="J3111" t="s">
        <v>51</v>
      </c>
      <c r="K3111" s="9">
        <v>43609</v>
      </c>
      <c r="L3111" s="10">
        <v>0.3444444444444445</v>
      </c>
      <c r="M3111" t="s">
        <v>4011</v>
      </c>
      <c r="N3111" t="s">
        <v>4076</v>
      </c>
      <c r="O3111" t="s">
        <v>22</v>
      </c>
    </row>
    <row r="3112" spans="1:15" hidden="1">
      <c r="A3112" t="s">
        <v>15</v>
      </c>
      <c r="B3112" t="str">
        <f>"FES1162691675"</f>
        <v>FES1162691675</v>
      </c>
      <c r="C3112" s="9">
        <v>43608</v>
      </c>
      <c r="D3112">
        <v>1</v>
      </c>
      <c r="E3112">
        <v>2170689986</v>
      </c>
      <c r="F3112" t="s">
        <v>16</v>
      </c>
      <c r="G3112" t="s">
        <v>17</v>
      </c>
      <c r="H3112" t="s">
        <v>43</v>
      </c>
      <c r="I3112" t="s">
        <v>44</v>
      </c>
      <c r="J3112" t="s">
        <v>51</v>
      </c>
      <c r="K3112" s="9">
        <v>43609</v>
      </c>
      <c r="L3112" s="10">
        <v>0.41666666666666669</v>
      </c>
      <c r="M3112" t="s">
        <v>4077</v>
      </c>
      <c r="N3112" t="s">
        <v>4078</v>
      </c>
      <c r="O3112" t="s">
        <v>22</v>
      </c>
    </row>
    <row r="3113" spans="1:15" hidden="1">
      <c r="A3113" t="s">
        <v>15</v>
      </c>
      <c r="B3113" t="str">
        <f>"FES1162691586"</f>
        <v>FES1162691586</v>
      </c>
      <c r="C3113" s="9">
        <v>43608</v>
      </c>
      <c r="D3113">
        <v>1</v>
      </c>
      <c r="E3113">
        <v>2170689890</v>
      </c>
      <c r="F3113" t="s">
        <v>16</v>
      </c>
      <c r="G3113" t="s">
        <v>17</v>
      </c>
      <c r="H3113" t="s">
        <v>290</v>
      </c>
      <c r="I3113" t="s">
        <v>291</v>
      </c>
      <c r="J3113" t="s">
        <v>1030</v>
      </c>
      <c r="K3113" s="9">
        <v>43609</v>
      </c>
      <c r="L3113" s="10">
        <v>0.375</v>
      </c>
      <c r="M3113" t="s">
        <v>4071</v>
      </c>
      <c r="N3113" t="s">
        <v>4079</v>
      </c>
      <c r="O3113" t="s">
        <v>22</v>
      </c>
    </row>
    <row r="3114" spans="1:15" hidden="1">
      <c r="A3114" t="s">
        <v>15</v>
      </c>
      <c r="B3114" t="str">
        <f>"FES1162691674"</f>
        <v>FES1162691674</v>
      </c>
      <c r="C3114" s="9">
        <v>43608</v>
      </c>
      <c r="D3114">
        <v>1</v>
      </c>
      <c r="E3114">
        <v>2170689984</v>
      </c>
      <c r="F3114" t="s">
        <v>16</v>
      </c>
      <c r="G3114" t="s">
        <v>17</v>
      </c>
      <c r="H3114" t="s">
        <v>43</v>
      </c>
      <c r="I3114" t="s">
        <v>44</v>
      </c>
      <c r="J3114" t="s">
        <v>51</v>
      </c>
      <c r="K3114" s="9">
        <v>43609</v>
      </c>
      <c r="L3114" s="10">
        <v>0.3444444444444445</v>
      </c>
      <c r="M3114" t="s">
        <v>4011</v>
      </c>
      <c r="N3114" t="s">
        <v>4080</v>
      </c>
      <c r="O3114" t="s">
        <v>22</v>
      </c>
    </row>
    <row r="3115" spans="1:15" hidden="1">
      <c r="A3115" t="s">
        <v>15</v>
      </c>
      <c r="B3115" t="str">
        <f>"FES1162691672"</f>
        <v>FES1162691672</v>
      </c>
      <c r="C3115" s="9">
        <v>43608</v>
      </c>
      <c r="D3115">
        <v>1</v>
      </c>
      <c r="E3115">
        <v>2170689981</v>
      </c>
      <c r="F3115" t="s">
        <v>16</v>
      </c>
      <c r="G3115" t="s">
        <v>17</v>
      </c>
      <c r="H3115" t="s">
        <v>43</v>
      </c>
      <c r="I3115" t="s">
        <v>44</v>
      </c>
      <c r="J3115" t="s">
        <v>748</v>
      </c>
      <c r="K3115" s="9">
        <v>43609</v>
      </c>
      <c r="L3115" s="10">
        <v>0.41666666666666669</v>
      </c>
      <c r="M3115" t="s">
        <v>3834</v>
      </c>
      <c r="N3115" t="s">
        <v>4081</v>
      </c>
      <c r="O3115" t="s">
        <v>22</v>
      </c>
    </row>
    <row r="3116" spans="1:15" hidden="1">
      <c r="A3116" t="s">
        <v>15</v>
      </c>
      <c r="B3116" t="str">
        <f>"FES1162691657"</f>
        <v>FES1162691657</v>
      </c>
      <c r="C3116" s="9">
        <v>43608</v>
      </c>
      <c r="D3116">
        <v>1</v>
      </c>
      <c r="E3116">
        <v>2170689963</v>
      </c>
      <c r="F3116" t="s">
        <v>16</v>
      </c>
      <c r="G3116" t="s">
        <v>17</v>
      </c>
      <c r="H3116" t="s">
        <v>425</v>
      </c>
      <c r="I3116" t="s">
        <v>771</v>
      </c>
      <c r="J3116" t="s">
        <v>772</v>
      </c>
      <c r="K3116" s="9">
        <v>43609</v>
      </c>
      <c r="L3116" s="10">
        <v>0.57430555555555551</v>
      </c>
      <c r="M3116" t="s">
        <v>773</v>
      </c>
      <c r="N3116" t="s">
        <v>4082</v>
      </c>
      <c r="O3116" t="s">
        <v>22</v>
      </c>
    </row>
    <row r="3117" spans="1:15" hidden="1">
      <c r="A3117" t="s">
        <v>15</v>
      </c>
      <c r="B3117" t="str">
        <f>"FES1162691680"</f>
        <v>FES1162691680</v>
      </c>
      <c r="C3117" s="9">
        <v>43608</v>
      </c>
      <c r="D3117">
        <v>1</v>
      </c>
      <c r="E3117">
        <v>2170689992</v>
      </c>
      <c r="F3117" t="s">
        <v>16</v>
      </c>
      <c r="G3117" t="s">
        <v>17</v>
      </c>
      <c r="H3117" t="s">
        <v>37</v>
      </c>
      <c r="I3117" t="s">
        <v>38</v>
      </c>
      <c r="J3117" t="s">
        <v>1204</v>
      </c>
      <c r="K3117" s="9">
        <v>43609</v>
      </c>
      <c r="L3117" s="10">
        <v>0.41666666666666669</v>
      </c>
      <c r="M3117" t="s">
        <v>1205</v>
      </c>
      <c r="N3117" t="s">
        <v>4083</v>
      </c>
      <c r="O3117" t="s">
        <v>22</v>
      </c>
    </row>
    <row r="3118" spans="1:15" hidden="1">
      <c r="A3118" t="s">
        <v>15</v>
      </c>
      <c r="B3118" t="str">
        <f>"FES1162691549"</f>
        <v>FES1162691549</v>
      </c>
      <c r="C3118" s="9">
        <v>43608</v>
      </c>
      <c r="D3118">
        <v>1</v>
      </c>
      <c r="E3118">
        <v>2170688113</v>
      </c>
      <c r="F3118" t="s">
        <v>16</v>
      </c>
      <c r="G3118" t="s">
        <v>17</v>
      </c>
      <c r="H3118" t="s">
        <v>32</v>
      </c>
      <c r="I3118" t="s">
        <v>342</v>
      </c>
      <c r="J3118" t="s">
        <v>949</v>
      </c>
      <c r="K3118" s="9">
        <v>43609</v>
      </c>
      <c r="L3118" s="10">
        <v>0.33333333333333331</v>
      </c>
      <c r="M3118" t="s">
        <v>4027</v>
      </c>
      <c r="N3118" t="s">
        <v>4084</v>
      </c>
      <c r="O3118" t="s">
        <v>22</v>
      </c>
    </row>
    <row r="3119" spans="1:15" hidden="1">
      <c r="A3119" t="s">
        <v>15</v>
      </c>
      <c r="B3119" t="str">
        <f>"FES1162691482"</f>
        <v>FES1162691482</v>
      </c>
      <c r="C3119" s="9">
        <v>43608</v>
      </c>
      <c r="D3119">
        <v>1</v>
      </c>
      <c r="E3119">
        <v>2170689843</v>
      </c>
      <c r="F3119" t="s">
        <v>16</v>
      </c>
      <c r="G3119" t="s">
        <v>17</v>
      </c>
      <c r="H3119" t="s">
        <v>290</v>
      </c>
      <c r="I3119" t="s">
        <v>291</v>
      </c>
      <c r="J3119" t="s">
        <v>609</v>
      </c>
      <c r="K3119" s="9">
        <v>43609</v>
      </c>
      <c r="L3119" s="10">
        <v>0.3923611111111111</v>
      </c>
      <c r="M3119" t="s">
        <v>4085</v>
      </c>
      <c r="N3119" t="s">
        <v>4086</v>
      </c>
      <c r="O3119" t="s">
        <v>22</v>
      </c>
    </row>
    <row r="3120" spans="1:15" hidden="1">
      <c r="A3120" t="s">
        <v>15</v>
      </c>
      <c r="B3120" t="str">
        <f>"FES1162691441"</f>
        <v>FES1162691441</v>
      </c>
      <c r="C3120" s="9">
        <v>43608</v>
      </c>
      <c r="D3120">
        <v>1</v>
      </c>
      <c r="E3120">
        <v>2170687379</v>
      </c>
      <c r="F3120" t="s">
        <v>16</v>
      </c>
      <c r="G3120" t="s">
        <v>17</v>
      </c>
      <c r="H3120" t="s">
        <v>141</v>
      </c>
      <c r="I3120" t="s">
        <v>142</v>
      </c>
      <c r="J3120" t="s">
        <v>2369</v>
      </c>
      <c r="K3120" s="9">
        <v>43609</v>
      </c>
      <c r="L3120" s="10">
        <v>0.34513888888888888</v>
      </c>
      <c r="M3120" t="s">
        <v>4087</v>
      </c>
      <c r="N3120" t="s">
        <v>4088</v>
      </c>
      <c r="O3120" t="s">
        <v>22</v>
      </c>
    </row>
    <row r="3121" spans="1:15" hidden="1">
      <c r="A3121" t="s">
        <v>15</v>
      </c>
      <c r="B3121" t="str">
        <f>"FES1162691456"</f>
        <v>FES1162691456</v>
      </c>
      <c r="C3121" s="9">
        <v>43608</v>
      </c>
      <c r="D3121">
        <v>1</v>
      </c>
      <c r="E3121">
        <v>2170689172</v>
      </c>
      <c r="F3121" t="s">
        <v>16</v>
      </c>
      <c r="G3121" t="s">
        <v>17</v>
      </c>
      <c r="H3121" t="s">
        <v>290</v>
      </c>
      <c r="I3121" t="s">
        <v>601</v>
      </c>
      <c r="J3121" t="s">
        <v>602</v>
      </c>
      <c r="K3121" t="s">
        <v>1730</v>
      </c>
      <c r="L3121"/>
      <c r="M3121" t="s">
        <v>1731</v>
      </c>
      <c r="N3121" t="s">
        <v>4089</v>
      </c>
      <c r="O3121" t="s">
        <v>22</v>
      </c>
    </row>
    <row r="3122" spans="1:15" hidden="1">
      <c r="A3122" t="s">
        <v>15</v>
      </c>
      <c r="B3122" t="str">
        <f>"FES1162691460"</f>
        <v>FES1162691460</v>
      </c>
      <c r="C3122" s="9">
        <v>43608</v>
      </c>
      <c r="D3122">
        <v>1</v>
      </c>
      <c r="E3122">
        <v>2170689366</v>
      </c>
      <c r="F3122" t="s">
        <v>58</v>
      </c>
      <c r="G3122" t="s">
        <v>59</v>
      </c>
      <c r="H3122" t="s">
        <v>141</v>
      </c>
      <c r="I3122" t="s">
        <v>137</v>
      </c>
      <c r="J3122" t="s">
        <v>138</v>
      </c>
      <c r="K3122" s="9">
        <v>43609</v>
      </c>
      <c r="L3122" s="10">
        <v>0.5</v>
      </c>
      <c r="M3122" t="s">
        <v>2542</v>
      </c>
      <c r="N3122" t="s">
        <v>4090</v>
      </c>
      <c r="O3122" t="s">
        <v>494</v>
      </c>
    </row>
    <row r="3123" spans="1:15" hidden="1">
      <c r="A3123" s="6" t="s">
        <v>15</v>
      </c>
      <c r="B3123" s="6" t="str">
        <f>"FES1162691472"</f>
        <v>FES1162691472</v>
      </c>
      <c r="C3123" s="7">
        <v>43608</v>
      </c>
      <c r="D3123" s="6">
        <v>1</v>
      </c>
      <c r="E3123" s="6">
        <v>2170689821</v>
      </c>
      <c r="F3123" s="6" t="s">
        <v>16</v>
      </c>
      <c r="G3123" s="6" t="s">
        <v>17</v>
      </c>
      <c r="H3123" s="6" t="s">
        <v>141</v>
      </c>
      <c r="I3123" s="6" t="s">
        <v>142</v>
      </c>
      <c r="J3123" s="6" t="s">
        <v>864</v>
      </c>
      <c r="K3123" s="7">
        <v>43609</v>
      </c>
      <c r="L3123" s="8">
        <v>0.36805555555555558</v>
      </c>
      <c r="M3123" s="6" t="s">
        <v>2254</v>
      </c>
      <c r="N3123" s="14" t="s">
        <v>21</v>
      </c>
      <c r="O3123" s="6" t="s">
        <v>22</v>
      </c>
    </row>
    <row r="3124" spans="1:15" hidden="1">
      <c r="A3124" t="s">
        <v>15</v>
      </c>
      <c r="B3124" t="str">
        <f>"FES1162691467"</f>
        <v>FES1162691467</v>
      </c>
      <c r="C3124" s="9">
        <v>43608</v>
      </c>
      <c r="D3124">
        <v>2</v>
      </c>
      <c r="E3124">
        <v>2170689809</v>
      </c>
      <c r="F3124" t="s">
        <v>16</v>
      </c>
      <c r="G3124" t="s">
        <v>17</v>
      </c>
      <c r="H3124" t="s">
        <v>141</v>
      </c>
      <c r="I3124" t="s">
        <v>142</v>
      </c>
      <c r="J3124" t="s">
        <v>864</v>
      </c>
      <c r="K3124" s="9">
        <v>43609</v>
      </c>
      <c r="L3124" s="10">
        <v>0.36805555555555558</v>
      </c>
      <c r="M3124" t="s">
        <v>2254</v>
      </c>
      <c r="N3124" t="s">
        <v>4091</v>
      </c>
      <c r="O3124" t="s">
        <v>22</v>
      </c>
    </row>
    <row r="3125" spans="1:15" hidden="1">
      <c r="A3125" t="s">
        <v>15</v>
      </c>
      <c r="B3125" t="str">
        <f>"FES1162691462"</f>
        <v>FES1162691462</v>
      </c>
      <c r="C3125" s="9">
        <v>43608</v>
      </c>
      <c r="D3125">
        <v>1</v>
      </c>
      <c r="E3125">
        <v>2170689630</v>
      </c>
      <c r="F3125" t="s">
        <v>16</v>
      </c>
      <c r="G3125" t="s">
        <v>17</v>
      </c>
      <c r="H3125" t="s">
        <v>141</v>
      </c>
      <c r="I3125" t="s">
        <v>142</v>
      </c>
      <c r="J3125" t="s">
        <v>195</v>
      </c>
      <c r="K3125" s="9">
        <v>43609</v>
      </c>
      <c r="L3125" s="10">
        <v>0.42222222222222222</v>
      </c>
      <c r="M3125" t="s">
        <v>1418</v>
      </c>
      <c r="N3125" t="s">
        <v>4092</v>
      </c>
      <c r="O3125" t="s">
        <v>22</v>
      </c>
    </row>
    <row r="3126" spans="1:15" hidden="1">
      <c r="A3126" t="s">
        <v>15</v>
      </c>
      <c r="B3126" t="str">
        <f>"FES1162691688"</f>
        <v>FES1162691688</v>
      </c>
      <c r="C3126" s="9">
        <v>43608</v>
      </c>
      <c r="D3126">
        <v>1</v>
      </c>
      <c r="E3126">
        <v>2170690001</v>
      </c>
      <c r="F3126" t="s">
        <v>16</v>
      </c>
      <c r="G3126" t="s">
        <v>17</v>
      </c>
      <c r="H3126" t="s">
        <v>43</v>
      </c>
      <c r="I3126" t="s">
        <v>44</v>
      </c>
      <c r="J3126" t="s">
        <v>336</v>
      </c>
      <c r="K3126" s="9">
        <v>43609</v>
      </c>
      <c r="L3126" s="10">
        <v>0.36805555555555558</v>
      </c>
      <c r="M3126" t="s">
        <v>1502</v>
      </c>
      <c r="N3126" t="s">
        <v>4093</v>
      </c>
      <c r="O3126" t="s">
        <v>22</v>
      </c>
    </row>
    <row r="3127" spans="1:15" hidden="1">
      <c r="A3127" t="s">
        <v>15</v>
      </c>
      <c r="B3127" t="str">
        <f>"FES1162691614"</f>
        <v>FES1162691614</v>
      </c>
      <c r="C3127" s="9">
        <v>43608</v>
      </c>
      <c r="D3127">
        <v>1</v>
      </c>
      <c r="E3127">
        <v>2170689919</v>
      </c>
      <c r="F3127" t="s">
        <v>16</v>
      </c>
      <c r="G3127" t="s">
        <v>17</v>
      </c>
      <c r="H3127" t="s">
        <v>440</v>
      </c>
      <c r="I3127" t="s">
        <v>1546</v>
      </c>
      <c r="J3127" t="s">
        <v>1547</v>
      </c>
      <c r="K3127" s="9">
        <v>43609</v>
      </c>
      <c r="L3127" s="10">
        <v>0.375</v>
      </c>
      <c r="M3127" t="s">
        <v>2751</v>
      </c>
      <c r="N3127" t="s">
        <v>4094</v>
      </c>
      <c r="O3127" t="s">
        <v>22</v>
      </c>
    </row>
    <row r="3128" spans="1:15" hidden="1">
      <c r="A3128" t="s">
        <v>15</v>
      </c>
      <c r="B3128" t="str">
        <f>"FES1162691569"</f>
        <v>FES1162691569</v>
      </c>
      <c r="C3128" s="9">
        <v>43608</v>
      </c>
      <c r="D3128">
        <v>1</v>
      </c>
      <c r="E3128">
        <v>2170688307</v>
      </c>
      <c r="F3128" t="s">
        <v>16</v>
      </c>
      <c r="G3128" t="s">
        <v>17</v>
      </c>
      <c r="H3128" t="s">
        <v>141</v>
      </c>
      <c r="I3128" t="s">
        <v>142</v>
      </c>
      <c r="J3128" t="s">
        <v>213</v>
      </c>
      <c r="K3128" s="9">
        <v>43609</v>
      </c>
      <c r="L3128" s="10">
        <v>0.33749999999999997</v>
      </c>
      <c r="M3128" t="s">
        <v>214</v>
      </c>
      <c r="N3128" t="s">
        <v>4095</v>
      </c>
      <c r="O3128" t="s">
        <v>22</v>
      </c>
    </row>
    <row r="3129" spans="1:15" hidden="1">
      <c r="A3129" t="s">
        <v>15</v>
      </c>
      <c r="B3129" t="str">
        <f>"FES1162691566"</f>
        <v>FES1162691566</v>
      </c>
      <c r="C3129" s="9">
        <v>43608</v>
      </c>
      <c r="D3129">
        <v>1</v>
      </c>
      <c r="E3129">
        <v>21706882529</v>
      </c>
      <c r="F3129" t="s">
        <v>16</v>
      </c>
      <c r="G3129" t="s">
        <v>17</v>
      </c>
      <c r="H3129" t="s">
        <v>141</v>
      </c>
      <c r="I3129" t="s">
        <v>142</v>
      </c>
      <c r="J3129" t="s">
        <v>213</v>
      </c>
      <c r="K3129" s="9">
        <v>43609</v>
      </c>
      <c r="L3129" s="10">
        <v>0.33749999999999997</v>
      </c>
      <c r="M3129" t="s">
        <v>214</v>
      </c>
      <c r="N3129" t="s">
        <v>4096</v>
      </c>
      <c r="O3129" t="s">
        <v>22</v>
      </c>
    </row>
    <row r="3130" spans="1:15" hidden="1">
      <c r="A3130" s="6" t="s">
        <v>15</v>
      </c>
      <c r="B3130" s="6" t="str">
        <f>"FES1162691531"</f>
        <v>FES1162691531</v>
      </c>
      <c r="C3130" s="7">
        <v>43608</v>
      </c>
      <c r="D3130" s="6">
        <v>1</v>
      </c>
      <c r="E3130" s="6">
        <v>2170688004</v>
      </c>
      <c r="F3130" s="6" t="s">
        <v>16</v>
      </c>
      <c r="G3130" s="6" t="s">
        <v>17</v>
      </c>
      <c r="H3130" s="6" t="s">
        <v>141</v>
      </c>
      <c r="I3130" s="6" t="s">
        <v>142</v>
      </c>
      <c r="J3130" s="6" t="s">
        <v>213</v>
      </c>
      <c r="K3130" s="7">
        <v>43609</v>
      </c>
      <c r="L3130" s="8">
        <v>0.33749999999999997</v>
      </c>
      <c r="M3130" s="6" t="s">
        <v>214</v>
      </c>
      <c r="N3130" s="14" t="s">
        <v>21</v>
      </c>
      <c r="O3130" s="6" t="s">
        <v>22</v>
      </c>
    </row>
    <row r="3131" spans="1:15" hidden="1">
      <c r="A3131" s="6" t="s">
        <v>15</v>
      </c>
      <c r="B3131" s="6" t="str">
        <f>"FES1162691667"</f>
        <v>FES1162691667</v>
      </c>
      <c r="C3131" s="7">
        <v>43608</v>
      </c>
      <c r="D3131" s="6">
        <v>1</v>
      </c>
      <c r="E3131" s="6">
        <v>2170689972</v>
      </c>
      <c r="F3131" s="6" t="s">
        <v>16</v>
      </c>
      <c r="G3131" s="6" t="s">
        <v>17</v>
      </c>
      <c r="H3131" s="6" t="s">
        <v>141</v>
      </c>
      <c r="I3131" s="6" t="s">
        <v>185</v>
      </c>
      <c r="J3131" s="6" t="s">
        <v>210</v>
      </c>
      <c r="K3131" s="7">
        <v>43609</v>
      </c>
      <c r="L3131" s="8">
        <v>0.3611111111111111</v>
      </c>
      <c r="M3131" s="6" t="s">
        <v>211</v>
      </c>
      <c r="N3131" s="14" t="s">
        <v>21</v>
      </c>
      <c r="O3131" s="6" t="s">
        <v>22</v>
      </c>
    </row>
    <row r="3132" spans="1:15" hidden="1">
      <c r="A3132" t="s">
        <v>15</v>
      </c>
      <c r="B3132" t="str">
        <f>"FES1162691440"</f>
        <v>FES1162691440</v>
      </c>
      <c r="C3132" s="9">
        <v>43608</v>
      </c>
      <c r="D3132">
        <v>1</v>
      </c>
      <c r="E3132">
        <v>2170687287</v>
      </c>
      <c r="F3132" t="s">
        <v>16</v>
      </c>
      <c r="G3132" t="s">
        <v>17</v>
      </c>
      <c r="H3132" t="s">
        <v>141</v>
      </c>
      <c r="I3132" t="s">
        <v>185</v>
      </c>
      <c r="J3132" t="s">
        <v>210</v>
      </c>
      <c r="K3132" s="9">
        <v>43609</v>
      </c>
      <c r="L3132" s="10">
        <v>0.3611111111111111</v>
      </c>
      <c r="M3132" t="s">
        <v>211</v>
      </c>
      <c r="N3132" t="s">
        <v>4097</v>
      </c>
      <c r="O3132" t="s">
        <v>22</v>
      </c>
    </row>
    <row r="3133" spans="1:15" hidden="1">
      <c r="A3133" t="s">
        <v>15</v>
      </c>
      <c r="B3133" t="str">
        <f>"FES1162691587"</f>
        <v>FES1162691587</v>
      </c>
      <c r="C3133" s="9">
        <v>43608</v>
      </c>
      <c r="D3133">
        <v>1</v>
      </c>
      <c r="E3133">
        <v>2170688728</v>
      </c>
      <c r="F3133" t="s">
        <v>16</v>
      </c>
      <c r="G3133" t="s">
        <v>17</v>
      </c>
      <c r="H3133" t="s">
        <v>32</v>
      </c>
      <c r="I3133" t="s">
        <v>33</v>
      </c>
      <c r="J3133" t="s">
        <v>357</v>
      </c>
      <c r="K3133" s="9">
        <v>43609</v>
      </c>
      <c r="L3133" s="10">
        <v>0.38194444444444442</v>
      </c>
      <c r="M3133" t="s">
        <v>2201</v>
      </c>
      <c r="N3133" t="s">
        <v>4098</v>
      </c>
      <c r="O3133" t="s">
        <v>22</v>
      </c>
    </row>
    <row r="3134" spans="1:15" hidden="1">
      <c r="A3134" t="s">
        <v>15</v>
      </c>
      <c r="B3134" t="str">
        <f>"FES1162691706"</f>
        <v>FES1162691706</v>
      </c>
      <c r="C3134" s="9">
        <v>43608</v>
      </c>
      <c r="D3134">
        <v>1</v>
      </c>
      <c r="E3134">
        <v>21706890024</v>
      </c>
      <c r="F3134" t="s">
        <v>16</v>
      </c>
      <c r="G3134" t="s">
        <v>17</v>
      </c>
      <c r="H3134" t="s">
        <v>43</v>
      </c>
      <c r="I3134" t="s">
        <v>44</v>
      </c>
      <c r="J3134" t="s">
        <v>45</v>
      </c>
      <c r="K3134" s="9">
        <v>43609</v>
      </c>
      <c r="L3134" s="10">
        <v>0.34513888888888888</v>
      </c>
      <c r="M3134" t="s">
        <v>46</v>
      </c>
      <c r="N3134" t="s">
        <v>4099</v>
      </c>
      <c r="O3134" t="s">
        <v>22</v>
      </c>
    </row>
    <row r="3135" spans="1:15" hidden="1">
      <c r="A3135" t="s">
        <v>15</v>
      </c>
      <c r="B3135" t="str">
        <f>"FES1162691683"</f>
        <v>FES1162691683</v>
      </c>
      <c r="C3135" s="9">
        <v>43608</v>
      </c>
      <c r="D3135">
        <v>1</v>
      </c>
      <c r="E3135">
        <v>2170689996</v>
      </c>
      <c r="F3135" t="s">
        <v>16</v>
      </c>
      <c r="G3135" t="s">
        <v>17</v>
      </c>
      <c r="H3135" t="s">
        <v>37</v>
      </c>
      <c r="I3135" t="s">
        <v>38</v>
      </c>
      <c r="J3135" t="s">
        <v>4100</v>
      </c>
      <c r="K3135" s="9">
        <v>43609</v>
      </c>
      <c r="L3135" s="10">
        <v>0.35069444444444442</v>
      </c>
      <c r="M3135" t="s">
        <v>4101</v>
      </c>
      <c r="N3135" t="s">
        <v>4102</v>
      </c>
      <c r="O3135" t="s">
        <v>22</v>
      </c>
    </row>
    <row r="3136" spans="1:15" hidden="1">
      <c r="A3136" t="s">
        <v>15</v>
      </c>
      <c r="B3136" t="str">
        <f>"FES1162691616"</f>
        <v>FES1162691616</v>
      </c>
      <c r="C3136" s="9">
        <v>43608</v>
      </c>
      <c r="D3136">
        <v>1</v>
      </c>
      <c r="E3136">
        <v>2170689922</v>
      </c>
      <c r="F3136" t="s">
        <v>16</v>
      </c>
      <c r="G3136" t="s">
        <v>17</v>
      </c>
      <c r="H3136" t="s">
        <v>32</v>
      </c>
      <c r="I3136" t="s">
        <v>33</v>
      </c>
      <c r="J3136" t="s">
        <v>357</v>
      </c>
      <c r="K3136" s="9">
        <v>43609</v>
      </c>
      <c r="L3136" s="10">
        <v>0.38194444444444442</v>
      </c>
      <c r="M3136" t="s">
        <v>2201</v>
      </c>
      <c r="N3136" t="s">
        <v>4103</v>
      </c>
      <c r="O3136" t="s">
        <v>22</v>
      </c>
    </row>
    <row r="3137" spans="1:15" hidden="1">
      <c r="A3137" t="s">
        <v>15</v>
      </c>
      <c r="B3137" t="str">
        <f>"FES1162691578"</f>
        <v>FES1162691578</v>
      </c>
      <c r="C3137" s="9">
        <v>43608</v>
      </c>
      <c r="D3137">
        <v>1</v>
      </c>
      <c r="E3137">
        <v>2170688358</v>
      </c>
      <c r="F3137" t="s">
        <v>16</v>
      </c>
      <c r="G3137" t="s">
        <v>17</v>
      </c>
      <c r="H3137" t="s">
        <v>141</v>
      </c>
      <c r="I3137" t="s">
        <v>142</v>
      </c>
      <c r="J3137" t="s">
        <v>1819</v>
      </c>
      <c r="K3137" s="9">
        <v>43609</v>
      </c>
      <c r="L3137" s="10">
        <v>0.38125000000000003</v>
      </c>
      <c r="M3137" t="s">
        <v>3842</v>
      </c>
      <c r="N3137" t="s">
        <v>4104</v>
      </c>
      <c r="O3137" t="s">
        <v>22</v>
      </c>
    </row>
    <row r="3138" spans="1:15" hidden="1">
      <c r="A3138" t="s">
        <v>15</v>
      </c>
      <c r="B3138" t="str">
        <f>"FES1162691495"</f>
        <v>FES1162691495</v>
      </c>
      <c r="C3138" s="9">
        <v>43608</v>
      </c>
      <c r="D3138">
        <v>1</v>
      </c>
      <c r="E3138">
        <v>2170689864</v>
      </c>
      <c r="F3138" t="s">
        <v>16</v>
      </c>
      <c r="G3138" t="s">
        <v>17</v>
      </c>
      <c r="H3138" t="s">
        <v>141</v>
      </c>
      <c r="I3138" t="s">
        <v>185</v>
      </c>
      <c r="J3138" t="s">
        <v>503</v>
      </c>
      <c r="K3138" s="9">
        <v>43609</v>
      </c>
      <c r="L3138" s="10">
        <v>0.40902777777777777</v>
      </c>
      <c r="M3138" t="s">
        <v>1355</v>
      </c>
      <c r="N3138" t="s">
        <v>4105</v>
      </c>
      <c r="O3138" t="s">
        <v>22</v>
      </c>
    </row>
    <row r="3139" spans="1:15" hidden="1">
      <c r="A3139" t="s">
        <v>15</v>
      </c>
      <c r="B3139" t="str">
        <f>"FES1162691540"</f>
        <v>FES1162691540</v>
      </c>
      <c r="C3139" s="9">
        <v>43608</v>
      </c>
      <c r="D3139">
        <v>1</v>
      </c>
      <c r="E3139">
        <v>2170688052</v>
      </c>
      <c r="F3139" t="s">
        <v>16</v>
      </c>
      <c r="G3139" t="s">
        <v>17</v>
      </c>
      <c r="H3139" t="s">
        <v>300</v>
      </c>
      <c r="I3139" t="s">
        <v>1553</v>
      </c>
      <c r="J3139" t="s">
        <v>4106</v>
      </c>
      <c r="K3139" s="9">
        <v>43609</v>
      </c>
      <c r="L3139" s="10">
        <v>0.43055555555555558</v>
      </c>
      <c r="M3139" t="s">
        <v>4107</v>
      </c>
      <c r="N3139" t="s">
        <v>4108</v>
      </c>
      <c r="O3139" t="s">
        <v>22</v>
      </c>
    </row>
    <row r="3140" spans="1:15" hidden="1">
      <c r="A3140" t="s">
        <v>15</v>
      </c>
      <c r="B3140" t="str">
        <f>"FES1162691529"</f>
        <v>FES1162691529</v>
      </c>
      <c r="C3140" s="9">
        <v>43608</v>
      </c>
      <c r="D3140">
        <v>1</v>
      </c>
      <c r="E3140">
        <v>2170687983</v>
      </c>
      <c r="F3140" t="s">
        <v>16</v>
      </c>
      <c r="G3140" t="s">
        <v>17</v>
      </c>
      <c r="H3140" t="s">
        <v>141</v>
      </c>
      <c r="I3140" t="s">
        <v>142</v>
      </c>
      <c r="J3140" t="s">
        <v>213</v>
      </c>
      <c r="K3140" s="9">
        <v>43609</v>
      </c>
      <c r="L3140" s="10">
        <v>0.33749999999999997</v>
      </c>
      <c r="M3140" t="s">
        <v>214</v>
      </c>
      <c r="N3140" t="s">
        <v>4109</v>
      </c>
      <c r="O3140" t="s">
        <v>22</v>
      </c>
    </row>
    <row r="3141" spans="1:15" hidden="1">
      <c r="A3141" t="s">
        <v>15</v>
      </c>
      <c r="B3141" t="str">
        <f>"FES1162691664"</f>
        <v>FES1162691664</v>
      </c>
      <c r="C3141" s="9">
        <v>43608</v>
      </c>
      <c r="D3141">
        <v>1</v>
      </c>
      <c r="E3141">
        <v>2170689970</v>
      </c>
      <c r="F3141" t="s">
        <v>16</v>
      </c>
      <c r="G3141" t="s">
        <v>17</v>
      </c>
      <c r="H3141" t="s">
        <v>37</v>
      </c>
      <c r="I3141" t="s">
        <v>38</v>
      </c>
      <c r="J3141" t="s">
        <v>1777</v>
      </c>
      <c r="K3141" s="9">
        <v>43609</v>
      </c>
      <c r="L3141" s="10">
        <v>0.34375</v>
      </c>
      <c r="M3141" t="s">
        <v>1778</v>
      </c>
      <c r="N3141" t="s">
        <v>4110</v>
      </c>
      <c r="O3141" t="s">
        <v>22</v>
      </c>
    </row>
    <row r="3142" spans="1:15" hidden="1">
      <c r="A3142" t="s">
        <v>15</v>
      </c>
      <c r="B3142" t="str">
        <f>"FES1162691545"</f>
        <v>FES1162691545</v>
      </c>
      <c r="C3142" s="9">
        <v>43608</v>
      </c>
      <c r="D3142">
        <v>1</v>
      </c>
      <c r="E3142">
        <v>2170688093</v>
      </c>
      <c r="F3142" t="s">
        <v>16</v>
      </c>
      <c r="G3142" t="s">
        <v>17</v>
      </c>
      <c r="H3142" t="s">
        <v>32</v>
      </c>
      <c r="I3142" t="s">
        <v>33</v>
      </c>
      <c r="J3142" t="s">
        <v>778</v>
      </c>
      <c r="K3142" s="9">
        <v>43609</v>
      </c>
      <c r="L3142" s="10">
        <v>0.3888888888888889</v>
      </c>
      <c r="M3142" t="s">
        <v>3244</v>
      </c>
      <c r="N3142" t="s">
        <v>4111</v>
      </c>
      <c r="O3142" t="s">
        <v>22</v>
      </c>
    </row>
    <row r="3143" spans="1:15" hidden="1">
      <c r="A3143" t="s">
        <v>15</v>
      </c>
      <c r="B3143" t="str">
        <f>"FES1162691543"</f>
        <v>FES1162691543</v>
      </c>
      <c r="C3143" s="9">
        <v>43608</v>
      </c>
      <c r="D3143">
        <v>1</v>
      </c>
      <c r="E3143">
        <v>2170688082</v>
      </c>
      <c r="F3143" t="s">
        <v>16</v>
      </c>
      <c r="G3143" t="s">
        <v>17</v>
      </c>
      <c r="H3143" t="s">
        <v>32</v>
      </c>
      <c r="I3143" t="s">
        <v>33</v>
      </c>
      <c r="J3143" t="s">
        <v>778</v>
      </c>
      <c r="K3143" s="9">
        <v>43609</v>
      </c>
      <c r="L3143" s="10">
        <v>0.3888888888888889</v>
      </c>
      <c r="M3143" t="s">
        <v>3308</v>
      </c>
      <c r="N3143" t="s">
        <v>4112</v>
      </c>
      <c r="O3143" t="s">
        <v>22</v>
      </c>
    </row>
    <row r="3144" spans="1:15" hidden="1">
      <c r="A3144" t="s">
        <v>15</v>
      </c>
      <c r="B3144" t="str">
        <f>"FES1162691686"</f>
        <v>FES1162691686</v>
      </c>
      <c r="C3144" s="9">
        <v>43608</v>
      </c>
      <c r="D3144">
        <v>1</v>
      </c>
      <c r="E3144">
        <v>2170689915</v>
      </c>
      <c r="F3144" t="s">
        <v>16</v>
      </c>
      <c r="G3144" t="s">
        <v>17</v>
      </c>
      <c r="H3144" t="s">
        <v>32</v>
      </c>
      <c r="I3144" t="s">
        <v>33</v>
      </c>
      <c r="J3144" t="s">
        <v>2108</v>
      </c>
      <c r="K3144" s="9">
        <v>43609</v>
      </c>
      <c r="L3144" s="10">
        <v>0.3430555555555555</v>
      </c>
      <c r="M3144" t="s">
        <v>4113</v>
      </c>
      <c r="N3144" t="s">
        <v>4114</v>
      </c>
      <c r="O3144" t="s">
        <v>22</v>
      </c>
    </row>
    <row r="3145" spans="1:15" hidden="1">
      <c r="A3145" t="s">
        <v>15</v>
      </c>
      <c r="B3145" t="str">
        <f>"FES1162691620"</f>
        <v>FES1162691620</v>
      </c>
      <c r="C3145" s="9">
        <v>43608</v>
      </c>
      <c r="D3145">
        <v>1</v>
      </c>
      <c r="E3145">
        <v>2170689926</v>
      </c>
      <c r="F3145" t="s">
        <v>16</v>
      </c>
      <c r="G3145" t="s">
        <v>17</v>
      </c>
      <c r="H3145" t="s">
        <v>32</v>
      </c>
      <c r="I3145" t="s">
        <v>33</v>
      </c>
      <c r="J3145" t="s">
        <v>778</v>
      </c>
      <c r="K3145" s="9">
        <v>43609</v>
      </c>
      <c r="L3145" s="10">
        <v>0.3888888888888889</v>
      </c>
      <c r="M3145" t="s">
        <v>3244</v>
      </c>
      <c r="N3145" t="s">
        <v>4115</v>
      </c>
      <c r="O3145" t="s">
        <v>22</v>
      </c>
    </row>
    <row r="3146" spans="1:15" hidden="1">
      <c r="A3146" t="s">
        <v>15</v>
      </c>
      <c r="B3146" t="str">
        <f>"FES1162691610"</f>
        <v>FES1162691610</v>
      </c>
      <c r="C3146" s="9">
        <v>43608</v>
      </c>
      <c r="D3146">
        <v>1</v>
      </c>
      <c r="E3146">
        <v>2170689912</v>
      </c>
      <c r="F3146" t="s">
        <v>16</v>
      </c>
      <c r="G3146" t="s">
        <v>17</v>
      </c>
      <c r="H3146" t="s">
        <v>132</v>
      </c>
      <c r="I3146" t="s">
        <v>838</v>
      </c>
      <c r="J3146" t="s">
        <v>839</v>
      </c>
      <c r="K3146" s="9">
        <v>43609</v>
      </c>
      <c r="L3146" s="10">
        <v>0.47013888888888888</v>
      </c>
      <c r="M3146" t="s">
        <v>4116</v>
      </c>
      <c r="N3146" t="s">
        <v>4117</v>
      </c>
      <c r="O3146" t="s">
        <v>22</v>
      </c>
    </row>
    <row r="3147" spans="1:15" hidden="1">
      <c r="A3147" s="6" t="s">
        <v>15</v>
      </c>
      <c r="B3147" s="6" t="str">
        <f>"FES1162691542"</f>
        <v>FES1162691542</v>
      </c>
      <c r="C3147" s="7">
        <v>43608</v>
      </c>
      <c r="D3147" s="6">
        <v>1</v>
      </c>
      <c r="E3147" s="6">
        <v>2170688070</v>
      </c>
      <c r="F3147" s="6" t="s">
        <v>16</v>
      </c>
      <c r="G3147" s="6" t="s">
        <v>17</v>
      </c>
      <c r="H3147" s="6" t="s">
        <v>32</v>
      </c>
      <c r="I3147" s="6" t="s">
        <v>33</v>
      </c>
      <c r="J3147" s="6" t="s">
        <v>284</v>
      </c>
      <c r="K3147" s="7">
        <v>43609</v>
      </c>
      <c r="L3147" s="8">
        <v>0.43402777777777773</v>
      </c>
      <c r="M3147" s="6" t="s">
        <v>2072</v>
      </c>
      <c r="N3147" s="14" t="s">
        <v>21</v>
      </c>
      <c r="O3147" s="6" t="s">
        <v>22</v>
      </c>
    </row>
    <row r="3148" spans="1:15" hidden="1">
      <c r="A3148" t="s">
        <v>15</v>
      </c>
      <c r="B3148" t="str">
        <f>"FES1162691524"</f>
        <v>FES1162691524</v>
      </c>
      <c r="C3148" s="9">
        <v>43608</v>
      </c>
      <c r="D3148">
        <v>1</v>
      </c>
      <c r="E3148">
        <v>2170687821</v>
      </c>
      <c r="F3148" t="s">
        <v>16</v>
      </c>
      <c r="G3148" t="s">
        <v>17</v>
      </c>
      <c r="H3148" t="s">
        <v>141</v>
      </c>
      <c r="I3148" t="s">
        <v>142</v>
      </c>
      <c r="J3148" t="s">
        <v>864</v>
      </c>
      <c r="K3148" s="9">
        <v>43609</v>
      </c>
      <c r="L3148" s="10">
        <v>0.36805555555555558</v>
      </c>
      <c r="M3148" t="s">
        <v>2254</v>
      </c>
      <c r="N3148" t="s">
        <v>4118</v>
      </c>
      <c r="O3148" t="s">
        <v>22</v>
      </c>
    </row>
    <row r="3149" spans="1:15" hidden="1">
      <c r="A3149" t="s">
        <v>15</v>
      </c>
      <c r="B3149" t="str">
        <f>"FES1162691500"</f>
        <v>FES1162691500</v>
      </c>
      <c r="C3149" s="9">
        <v>43608</v>
      </c>
      <c r="D3149">
        <v>1</v>
      </c>
      <c r="E3149">
        <v>2170689872</v>
      </c>
      <c r="F3149" t="s">
        <v>16</v>
      </c>
      <c r="G3149" t="s">
        <v>17</v>
      </c>
      <c r="H3149" t="s">
        <v>141</v>
      </c>
      <c r="I3149" t="s">
        <v>185</v>
      </c>
      <c r="J3149" t="s">
        <v>473</v>
      </c>
      <c r="K3149" s="9">
        <v>43609</v>
      </c>
      <c r="L3149" s="10">
        <v>0.40902777777777777</v>
      </c>
      <c r="M3149" t="s">
        <v>1355</v>
      </c>
      <c r="N3149" t="s">
        <v>4119</v>
      </c>
      <c r="O3149" t="s">
        <v>22</v>
      </c>
    </row>
    <row r="3150" spans="1:15" hidden="1">
      <c r="A3150" t="s">
        <v>15</v>
      </c>
      <c r="B3150" t="str">
        <f>"FES1162691615"</f>
        <v>FES1162691615</v>
      </c>
      <c r="C3150" s="9">
        <v>43608</v>
      </c>
      <c r="D3150">
        <v>1</v>
      </c>
      <c r="E3150">
        <v>2170689921</v>
      </c>
      <c r="F3150" t="s">
        <v>16</v>
      </c>
      <c r="G3150" t="s">
        <v>17</v>
      </c>
      <c r="H3150" t="s">
        <v>32</v>
      </c>
      <c r="I3150" t="s">
        <v>33</v>
      </c>
      <c r="J3150" t="s">
        <v>2432</v>
      </c>
      <c r="K3150" s="9">
        <v>43609</v>
      </c>
      <c r="L3150" s="10">
        <v>0.4152777777777778</v>
      </c>
      <c r="M3150" t="s">
        <v>4120</v>
      </c>
      <c r="N3150" t="s">
        <v>4121</v>
      </c>
      <c r="O3150" t="s">
        <v>22</v>
      </c>
    </row>
    <row r="3151" spans="1:15" hidden="1">
      <c r="A3151" t="s">
        <v>15</v>
      </c>
      <c r="B3151" t="str">
        <f>"FES1162691554"</f>
        <v>FES1162691554</v>
      </c>
      <c r="C3151" s="9">
        <v>43608</v>
      </c>
      <c r="D3151">
        <v>1</v>
      </c>
      <c r="E3151">
        <v>2170688154</v>
      </c>
      <c r="F3151" t="s">
        <v>16</v>
      </c>
      <c r="G3151" t="s">
        <v>17</v>
      </c>
      <c r="H3151" t="s">
        <v>141</v>
      </c>
      <c r="I3151" t="s">
        <v>185</v>
      </c>
      <c r="J3151" t="s">
        <v>1250</v>
      </c>
      <c r="K3151" s="9">
        <v>43609</v>
      </c>
      <c r="L3151" s="10">
        <v>0.41944444444444445</v>
      </c>
      <c r="M3151" t="s">
        <v>2411</v>
      </c>
      <c r="N3151" t="s">
        <v>4122</v>
      </c>
      <c r="O3151" t="s">
        <v>22</v>
      </c>
    </row>
    <row r="3152" spans="1:15" hidden="1">
      <c r="A3152" s="6" t="s">
        <v>15</v>
      </c>
      <c r="B3152" s="6" t="str">
        <f>"FES1162691562"</f>
        <v>FES1162691562</v>
      </c>
      <c r="C3152" s="7">
        <v>43608</v>
      </c>
      <c r="D3152" s="6">
        <v>1</v>
      </c>
      <c r="E3152" s="6">
        <v>2170688196</v>
      </c>
      <c r="F3152" s="6" t="s">
        <v>16</v>
      </c>
      <c r="G3152" s="6" t="s">
        <v>17</v>
      </c>
      <c r="H3152" s="6" t="s">
        <v>32</v>
      </c>
      <c r="I3152" s="6" t="s">
        <v>33</v>
      </c>
      <c r="J3152" s="6" t="s">
        <v>360</v>
      </c>
      <c r="K3152" s="7">
        <v>43609</v>
      </c>
      <c r="L3152" s="8">
        <v>0.36041666666666666</v>
      </c>
      <c r="M3152" s="6" t="s">
        <v>793</v>
      </c>
      <c r="N3152" s="14" t="s">
        <v>21</v>
      </c>
      <c r="O3152" s="6" t="s">
        <v>22</v>
      </c>
    </row>
    <row r="3153" spans="1:15" hidden="1">
      <c r="A3153" t="s">
        <v>15</v>
      </c>
      <c r="B3153" t="str">
        <f>"FES1162691594"</f>
        <v>FES1162691594</v>
      </c>
      <c r="C3153" s="9">
        <v>43608</v>
      </c>
      <c r="D3153">
        <v>1</v>
      </c>
      <c r="E3153">
        <v>2170689898</v>
      </c>
      <c r="F3153" t="s">
        <v>16</v>
      </c>
      <c r="G3153" t="s">
        <v>17</v>
      </c>
      <c r="H3153" t="s">
        <v>290</v>
      </c>
      <c r="I3153" t="s">
        <v>309</v>
      </c>
      <c r="J3153" t="s">
        <v>4123</v>
      </c>
      <c r="K3153" s="9">
        <v>43609</v>
      </c>
      <c r="L3153" s="10">
        <v>0.40972222222222227</v>
      </c>
      <c r="M3153" t="s">
        <v>4124</v>
      </c>
      <c r="N3153" t="s">
        <v>4125</v>
      </c>
      <c r="O3153" t="s">
        <v>22</v>
      </c>
    </row>
    <row r="3154" spans="1:15" hidden="1">
      <c r="A3154" t="s">
        <v>15</v>
      </c>
      <c r="B3154" t="str">
        <f>"FES1162691558"</f>
        <v>FES1162691558</v>
      </c>
      <c r="C3154" s="9">
        <v>43608</v>
      </c>
      <c r="D3154">
        <v>1</v>
      </c>
      <c r="E3154">
        <v>2170688167</v>
      </c>
      <c r="F3154" t="s">
        <v>16</v>
      </c>
      <c r="G3154" t="s">
        <v>17</v>
      </c>
      <c r="H3154" t="s">
        <v>32</v>
      </c>
      <c r="I3154" t="s">
        <v>269</v>
      </c>
      <c r="J3154" t="s">
        <v>683</v>
      </c>
      <c r="K3154" s="9">
        <v>43609</v>
      </c>
      <c r="L3154" s="10">
        <v>0.34722222222222227</v>
      </c>
      <c r="M3154" t="s">
        <v>684</v>
      </c>
      <c r="N3154" t="s">
        <v>4126</v>
      </c>
      <c r="O3154" t="s">
        <v>22</v>
      </c>
    </row>
    <row r="3155" spans="1:15" hidden="1">
      <c r="A3155" t="s">
        <v>15</v>
      </c>
      <c r="B3155" t="str">
        <f>"FES1162691690"</f>
        <v>FES1162691690</v>
      </c>
      <c r="C3155" s="9">
        <v>43608</v>
      </c>
      <c r="D3155">
        <v>1</v>
      </c>
      <c r="E3155">
        <v>21706899003</v>
      </c>
      <c r="F3155" t="s">
        <v>16</v>
      </c>
      <c r="G3155" t="s">
        <v>17</v>
      </c>
      <c r="H3155" t="s">
        <v>290</v>
      </c>
      <c r="I3155" t="s">
        <v>291</v>
      </c>
      <c r="J3155" t="s">
        <v>1744</v>
      </c>
      <c r="K3155" s="9">
        <v>43609</v>
      </c>
      <c r="L3155" s="10">
        <v>0.35416666666666669</v>
      </c>
      <c r="M3155" t="s">
        <v>2556</v>
      </c>
      <c r="N3155" t="s">
        <v>4127</v>
      </c>
      <c r="O3155" t="s">
        <v>22</v>
      </c>
    </row>
    <row r="3156" spans="1:15" hidden="1">
      <c r="A3156" t="s">
        <v>15</v>
      </c>
      <c r="B3156" t="str">
        <f>"FES1162691639"</f>
        <v>FES1162691639</v>
      </c>
      <c r="C3156" s="9">
        <v>43608</v>
      </c>
      <c r="D3156">
        <v>1</v>
      </c>
      <c r="E3156">
        <v>2170689943</v>
      </c>
      <c r="F3156" t="s">
        <v>16</v>
      </c>
      <c r="G3156" t="s">
        <v>17</v>
      </c>
      <c r="H3156" t="s">
        <v>290</v>
      </c>
      <c r="I3156" t="s">
        <v>291</v>
      </c>
      <c r="J3156" t="s">
        <v>1744</v>
      </c>
      <c r="K3156" s="9">
        <v>43609</v>
      </c>
      <c r="L3156" s="10">
        <v>0.35416666666666669</v>
      </c>
      <c r="M3156" t="s">
        <v>2556</v>
      </c>
      <c r="N3156" t="s">
        <v>4128</v>
      </c>
      <c r="O3156" t="s">
        <v>22</v>
      </c>
    </row>
    <row r="3157" spans="1:15" hidden="1">
      <c r="A3157" t="s">
        <v>15</v>
      </c>
      <c r="B3157" t="str">
        <f>"FES1162691718"</f>
        <v>FES1162691718</v>
      </c>
      <c r="C3157" s="9">
        <v>43608</v>
      </c>
      <c r="D3157">
        <v>1</v>
      </c>
      <c r="E3157">
        <v>21706890035</v>
      </c>
      <c r="F3157" t="s">
        <v>16</v>
      </c>
      <c r="G3157" t="s">
        <v>17</v>
      </c>
      <c r="H3157" t="s">
        <v>43</v>
      </c>
      <c r="I3157" t="s">
        <v>44</v>
      </c>
      <c r="J3157" t="s">
        <v>1074</v>
      </c>
      <c r="K3157" s="9">
        <v>43609</v>
      </c>
      <c r="L3157" s="10">
        <v>0.51874999999999993</v>
      </c>
      <c r="M3157" t="s">
        <v>1962</v>
      </c>
      <c r="N3157" t="s">
        <v>4129</v>
      </c>
      <c r="O3157" t="s">
        <v>22</v>
      </c>
    </row>
    <row r="3158" spans="1:15" hidden="1">
      <c r="A3158" s="3" t="s">
        <v>15</v>
      </c>
      <c r="B3158" s="3" t="str">
        <f>"FES1162691653"</f>
        <v>FES1162691653</v>
      </c>
      <c r="C3158" s="4">
        <v>43608</v>
      </c>
      <c r="D3158" s="3">
        <v>1</v>
      </c>
      <c r="E3158" s="3">
        <v>2170689958</v>
      </c>
      <c r="F3158" s="3" t="s">
        <v>16</v>
      </c>
      <c r="G3158" s="3" t="s">
        <v>17</v>
      </c>
      <c r="H3158" s="3" t="s">
        <v>290</v>
      </c>
      <c r="I3158" s="3" t="s">
        <v>291</v>
      </c>
      <c r="J3158" s="3" t="s">
        <v>297</v>
      </c>
      <c r="K3158" s="4">
        <v>43609</v>
      </c>
      <c r="L3158" s="5">
        <v>0.34652777777777777</v>
      </c>
      <c r="M3158" s="3" t="s">
        <v>1291</v>
      </c>
      <c r="N3158" s="20" t="s">
        <v>21</v>
      </c>
      <c r="O3158" s="3" t="s">
        <v>22</v>
      </c>
    </row>
    <row r="3159" spans="1:15" hidden="1">
      <c r="A3159" t="s">
        <v>15</v>
      </c>
      <c r="B3159" t="str">
        <f>"FES1162691652"</f>
        <v>FES1162691652</v>
      </c>
      <c r="C3159" s="9">
        <v>43608</v>
      </c>
      <c r="D3159">
        <v>1</v>
      </c>
      <c r="E3159">
        <v>2170689956</v>
      </c>
      <c r="F3159" t="s">
        <v>16</v>
      </c>
      <c r="G3159" t="s">
        <v>17</v>
      </c>
      <c r="H3159" t="s">
        <v>300</v>
      </c>
      <c r="I3159" t="s">
        <v>301</v>
      </c>
      <c r="J3159" t="s">
        <v>506</v>
      </c>
      <c r="K3159" s="9">
        <v>43609</v>
      </c>
      <c r="L3159" s="10">
        <v>0.3923611111111111</v>
      </c>
      <c r="M3159" t="s">
        <v>4130</v>
      </c>
      <c r="N3159" t="s">
        <v>4131</v>
      </c>
      <c r="O3159" t="s">
        <v>22</v>
      </c>
    </row>
    <row r="3160" spans="1:15" hidden="1">
      <c r="A3160" t="s">
        <v>15</v>
      </c>
      <c r="B3160" t="str">
        <f>"FES1162691707"</f>
        <v>FES1162691707</v>
      </c>
      <c r="C3160" s="9">
        <v>43608</v>
      </c>
      <c r="D3160">
        <v>1</v>
      </c>
      <c r="E3160">
        <v>2170690026</v>
      </c>
      <c r="F3160" t="s">
        <v>16</v>
      </c>
      <c r="G3160" t="s">
        <v>17</v>
      </c>
      <c r="H3160" t="s">
        <v>132</v>
      </c>
      <c r="I3160" t="s">
        <v>133</v>
      </c>
      <c r="J3160" t="s">
        <v>1813</v>
      </c>
      <c r="K3160" s="9">
        <v>43609</v>
      </c>
      <c r="L3160" s="10">
        <v>0.3923611111111111</v>
      </c>
      <c r="M3160" t="s">
        <v>1814</v>
      </c>
      <c r="N3160" t="s">
        <v>4132</v>
      </c>
      <c r="O3160" t="s">
        <v>22</v>
      </c>
    </row>
    <row r="3161" spans="1:15" hidden="1">
      <c r="A3161" t="s">
        <v>15</v>
      </c>
      <c r="B3161" t="str">
        <f>"FES1162691719"</f>
        <v>FES1162691719</v>
      </c>
      <c r="C3161" s="9">
        <v>43608</v>
      </c>
      <c r="D3161">
        <v>1</v>
      </c>
      <c r="E3161">
        <v>21706890063</v>
      </c>
      <c r="F3161" t="s">
        <v>16</v>
      </c>
      <c r="G3161" t="s">
        <v>17</v>
      </c>
      <c r="H3161" t="s">
        <v>43</v>
      </c>
      <c r="I3161" t="s">
        <v>44</v>
      </c>
      <c r="J3161" t="s">
        <v>51</v>
      </c>
      <c r="K3161" s="9">
        <v>43609</v>
      </c>
      <c r="L3161" s="10">
        <v>0.34513888888888888</v>
      </c>
      <c r="M3161" t="s">
        <v>4011</v>
      </c>
      <c r="N3161" t="s">
        <v>4133</v>
      </c>
      <c r="O3161" t="s">
        <v>22</v>
      </c>
    </row>
    <row r="3162" spans="1:15" hidden="1">
      <c r="A3162" t="s">
        <v>15</v>
      </c>
      <c r="B3162" t="str">
        <f>"FES1162691715"</f>
        <v>FES1162691715</v>
      </c>
      <c r="C3162" s="9">
        <v>43608</v>
      </c>
      <c r="D3162">
        <v>1</v>
      </c>
      <c r="E3162">
        <v>2170690032</v>
      </c>
      <c r="F3162" t="s">
        <v>16</v>
      </c>
      <c r="G3162" t="s">
        <v>17</v>
      </c>
      <c r="H3162" t="s">
        <v>43</v>
      </c>
      <c r="I3162" t="s">
        <v>44</v>
      </c>
      <c r="J3162" t="s">
        <v>4134</v>
      </c>
      <c r="K3162" s="9">
        <v>43609</v>
      </c>
      <c r="L3162" s="10">
        <v>0.35416666666666669</v>
      </c>
      <c r="M3162" t="s">
        <v>1569</v>
      </c>
      <c r="N3162" t="s">
        <v>4135</v>
      </c>
      <c r="O3162" t="s">
        <v>22</v>
      </c>
    </row>
    <row r="3163" spans="1:15" hidden="1">
      <c r="A3163" t="s">
        <v>15</v>
      </c>
      <c r="B3163" t="str">
        <f>"FES1162691544"</f>
        <v>FES1162691544</v>
      </c>
      <c r="C3163" s="9">
        <v>43608</v>
      </c>
      <c r="D3163">
        <v>1</v>
      </c>
      <c r="E3163">
        <v>2170688090</v>
      </c>
      <c r="F3163" t="s">
        <v>16</v>
      </c>
      <c r="G3163" t="s">
        <v>17</v>
      </c>
      <c r="H3163" t="s">
        <v>32</v>
      </c>
      <c r="I3163" t="s">
        <v>33</v>
      </c>
      <c r="J3163" t="s">
        <v>778</v>
      </c>
      <c r="K3163" s="9">
        <v>43609</v>
      </c>
      <c r="L3163" s="10">
        <v>0.3888888888888889</v>
      </c>
      <c r="M3163" t="s">
        <v>3308</v>
      </c>
      <c r="N3163" t="s">
        <v>4136</v>
      </c>
      <c r="O3163" t="s">
        <v>22</v>
      </c>
    </row>
    <row r="3164" spans="1:15" hidden="1">
      <c r="A3164" t="s">
        <v>15</v>
      </c>
      <c r="B3164" t="str">
        <f>"FES1162691617"</f>
        <v>FES1162691617</v>
      </c>
      <c r="C3164" s="9">
        <v>43608</v>
      </c>
      <c r="D3164">
        <v>1</v>
      </c>
      <c r="E3164">
        <v>2170689923</v>
      </c>
      <c r="F3164" t="s">
        <v>16</v>
      </c>
      <c r="G3164" t="s">
        <v>17</v>
      </c>
      <c r="H3164" t="s">
        <v>37</v>
      </c>
      <c r="I3164" t="s">
        <v>955</v>
      </c>
      <c r="J3164" t="s">
        <v>956</v>
      </c>
      <c r="K3164" s="9">
        <v>43609</v>
      </c>
      <c r="L3164" s="10">
        <v>0.43402777777777773</v>
      </c>
      <c r="M3164" t="s">
        <v>4137</v>
      </c>
      <c r="N3164" t="s">
        <v>4138</v>
      </c>
      <c r="O3164" t="s">
        <v>22</v>
      </c>
    </row>
    <row r="3165" spans="1:15" hidden="1">
      <c r="A3165" s="6" t="s">
        <v>15</v>
      </c>
      <c r="B3165" s="6" t="str">
        <f>"FES1162691720"</f>
        <v>FES1162691720</v>
      </c>
      <c r="C3165" s="7">
        <v>43608</v>
      </c>
      <c r="D3165" s="6">
        <v>1</v>
      </c>
      <c r="E3165" s="6">
        <v>2170689065</v>
      </c>
      <c r="F3165" s="6" t="s">
        <v>16</v>
      </c>
      <c r="G3165" s="6" t="s">
        <v>17</v>
      </c>
      <c r="H3165" s="6" t="s">
        <v>43</v>
      </c>
      <c r="I3165" s="6" t="s">
        <v>44</v>
      </c>
      <c r="J3165" s="6" t="s">
        <v>591</v>
      </c>
      <c r="K3165" s="7">
        <v>43609</v>
      </c>
      <c r="L3165" s="8">
        <v>0.32708333333333334</v>
      </c>
      <c r="M3165" s="6" t="s">
        <v>3545</v>
      </c>
      <c r="N3165" s="14" t="s">
        <v>21</v>
      </c>
      <c r="O3165" s="6" t="s">
        <v>22</v>
      </c>
    </row>
    <row r="3166" spans="1:15" hidden="1">
      <c r="A3166" t="s">
        <v>15</v>
      </c>
      <c r="B3166" t="str">
        <f>"FES1162691629"</f>
        <v>FES1162691629</v>
      </c>
      <c r="C3166" s="9">
        <v>43608</v>
      </c>
      <c r="D3166">
        <v>1</v>
      </c>
      <c r="E3166">
        <v>2170689936</v>
      </c>
      <c r="F3166" t="s">
        <v>16</v>
      </c>
      <c r="G3166" t="s">
        <v>17</v>
      </c>
      <c r="H3166" t="s">
        <v>37</v>
      </c>
      <c r="I3166" t="s">
        <v>38</v>
      </c>
      <c r="J3166" t="s">
        <v>1027</v>
      </c>
      <c r="K3166" s="9">
        <v>43609</v>
      </c>
      <c r="L3166" s="10">
        <v>0.37638888888888888</v>
      </c>
      <c r="M3166" t="s">
        <v>4139</v>
      </c>
      <c r="N3166" t="s">
        <v>4140</v>
      </c>
      <c r="O3166" t="s">
        <v>22</v>
      </c>
    </row>
    <row r="3167" spans="1:15" hidden="1">
      <c r="A3167" s="6" t="s">
        <v>15</v>
      </c>
      <c r="B3167" s="6" t="str">
        <f>"FES1162691666"</f>
        <v>FES1162691666</v>
      </c>
      <c r="C3167" s="7">
        <v>43608</v>
      </c>
      <c r="D3167" s="6">
        <v>1</v>
      </c>
      <c r="E3167" s="6">
        <v>2170689971</v>
      </c>
      <c r="F3167" s="6" t="s">
        <v>16</v>
      </c>
      <c r="G3167" s="6" t="s">
        <v>17</v>
      </c>
      <c r="H3167" s="6" t="s">
        <v>37</v>
      </c>
      <c r="I3167" s="6" t="s">
        <v>38</v>
      </c>
      <c r="J3167" s="6" t="s">
        <v>766</v>
      </c>
      <c r="K3167" s="7">
        <v>43609</v>
      </c>
      <c r="L3167" s="8">
        <v>0.36041666666666666</v>
      </c>
      <c r="M3167" s="6" t="s">
        <v>1247</v>
      </c>
      <c r="N3167" s="14" t="s">
        <v>21</v>
      </c>
      <c r="O3167" s="6" t="s">
        <v>22</v>
      </c>
    </row>
    <row r="3168" spans="1:15" hidden="1">
      <c r="A3168" t="s">
        <v>15</v>
      </c>
      <c r="B3168" t="str">
        <f>"FES1162691492"</f>
        <v>FES1162691492</v>
      </c>
      <c r="C3168" s="9">
        <v>43608</v>
      </c>
      <c r="D3168">
        <v>1</v>
      </c>
      <c r="E3168">
        <v>2170689856</v>
      </c>
      <c r="F3168" t="s">
        <v>16</v>
      </c>
      <c r="G3168" t="s">
        <v>17</v>
      </c>
      <c r="H3168" t="s">
        <v>132</v>
      </c>
      <c r="I3168" t="s">
        <v>1066</v>
      </c>
      <c r="J3168" t="s">
        <v>1067</v>
      </c>
      <c r="K3168" s="9">
        <v>43609</v>
      </c>
      <c r="L3168" s="10">
        <v>0.56597222222222221</v>
      </c>
      <c r="M3168" t="s">
        <v>1068</v>
      </c>
      <c r="N3168" t="s">
        <v>4141</v>
      </c>
      <c r="O3168" t="s">
        <v>22</v>
      </c>
    </row>
    <row r="3169" spans="1:15" hidden="1">
      <c r="A3169" t="s">
        <v>15</v>
      </c>
      <c r="B3169" t="str">
        <f>"FES1162691638"</f>
        <v>FES1162691638</v>
      </c>
      <c r="C3169" s="9">
        <v>43608</v>
      </c>
      <c r="D3169">
        <v>1</v>
      </c>
      <c r="E3169">
        <v>2170689653</v>
      </c>
      <c r="F3169" t="s">
        <v>16</v>
      </c>
      <c r="G3169" t="s">
        <v>17</v>
      </c>
      <c r="H3169" t="s">
        <v>32</v>
      </c>
      <c r="I3169" t="s">
        <v>33</v>
      </c>
      <c r="J3169" t="s">
        <v>790</v>
      </c>
      <c r="K3169" s="9">
        <v>43609</v>
      </c>
      <c r="L3169" s="10">
        <v>0.40972222222222227</v>
      </c>
      <c r="M3169" t="s">
        <v>791</v>
      </c>
      <c r="N3169" t="s">
        <v>4142</v>
      </c>
      <c r="O3169" t="s">
        <v>22</v>
      </c>
    </row>
    <row r="3170" spans="1:15" hidden="1">
      <c r="A3170" t="s">
        <v>15</v>
      </c>
      <c r="B3170" t="str">
        <f>"FES1162691485"</f>
        <v>FES1162691485</v>
      </c>
      <c r="C3170" s="9">
        <v>43608</v>
      </c>
      <c r="D3170">
        <v>1</v>
      </c>
      <c r="E3170">
        <v>2170689848</v>
      </c>
      <c r="F3170" t="s">
        <v>16</v>
      </c>
      <c r="G3170" t="s">
        <v>17</v>
      </c>
      <c r="H3170" t="s">
        <v>440</v>
      </c>
      <c r="I3170" t="s">
        <v>1546</v>
      </c>
      <c r="J3170" t="s">
        <v>1547</v>
      </c>
      <c r="K3170" s="9">
        <v>43609</v>
      </c>
      <c r="L3170" s="10">
        <v>0.375</v>
      </c>
      <c r="M3170" t="s">
        <v>2751</v>
      </c>
      <c r="N3170" t="s">
        <v>4143</v>
      </c>
      <c r="O3170" t="s">
        <v>22</v>
      </c>
    </row>
    <row r="3171" spans="1:15" hidden="1">
      <c r="A3171" t="s">
        <v>15</v>
      </c>
      <c r="B3171" t="str">
        <f>"FES1162691677"</f>
        <v>FES1162691677</v>
      </c>
      <c r="C3171" s="9">
        <v>43608</v>
      </c>
      <c r="D3171">
        <v>1</v>
      </c>
      <c r="E3171">
        <v>21706899990</v>
      </c>
      <c r="F3171" t="s">
        <v>16</v>
      </c>
      <c r="G3171" t="s">
        <v>17</v>
      </c>
      <c r="H3171" t="s">
        <v>141</v>
      </c>
      <c r="I3171" t="s">
        <v>142</v>
      </c>
      <c r="J3171" t="s">
        <v>880</v>
      </c>
      <c r="K3171" s="9">
        <v>43609</v>
      </c>
      <c r="L3171" s="10">
        <v>0.39861111111111108</v>
      </c>
      <c r="M3171" t="s">
        <v>4144</v>
      </c>
      <c r="N3171" t="s">
        <v>4145</v>
      </c>
      <c r="O3171" t="s">
        <v>22</v>
      </c>
    </row>
    <row r="3172" spans="1:15" hidden="1">
      <c r="A3172" t="s">
        <v>15</v>
      </c>
      <c r="B3172" t="str">
        <f>"FES1162691662"</f>
        <v>FES1162691662</v>
      </c>
      <c r="C3172" s="9">
        <v>43608</v>
      </c>
      <c r="D3172">
        <v>1</v>
      </c>
      <c r="E3172">
        <v>2170689966</v>
      </c>
      <c r="F3172" t="s">
        <v>16</v>
      </c>
      <c r="G3172" t="s">
        <v>17</v>
      </c>
      <c r="H3172" t="s">
        <v>290</v>
      </c>
      <c r="I3172" t="s">
        <v>291</v>
      </c>
      <c r="J3172" t="s">
        <v>1187</v>
      </c>
      <c r="K3172" s="9">
        <v>43609</v>
      </c>
      <c r="L3172" s="10">
        <v>0.40625</v>
      </c>
      <c r="M3172" t="s">
        <v>2560</v>
      </c>
      <c r="N3172" t="s">
        <v>4146</v>
      </c>
      <c r="O3172" t="s">
        <v>22</v>
      </c>
    </row>
    <row r="3173" spans="1:15" hidden="1">
      <c r="A3173" s="6" t="s">
        <v>15</v>
      </c>
      <c r="B3173" s="6" t="str">
        <f>"FES1162691691"</f>
        <v>FES1162691691</v>
      </c>
      <c r="C3173" s="7">
        <v>43608</v>
      </c>
      <c r="D3173" s="6">
        <v>1</v>
      </c>
      <c r="E3173" s="6">
        <v>2170690004</v>
      </c>
      <c r="F3173" s="6" t="s">
        <v>16</v>
      </c>
      <c r="G3173" s="6" t="s">
        <v>17</v>
      </c>
      <c r="H3173" s="6" t="s">
        <v>290</v>
      </c>
      <c r="I3173" s="6" t="s">
        <v>291</v>
      </c>
      <c r="J3173" s="6" t="s">
        <v>1744</v>
      </c>
      <c r="K3173" s="7">
        <v>43609</v>
      </c>
      <c r="L3173" s="8">
        <v>0.35416666666666669</v>
      </c>
      <c r="M3173" s="6" t="s">
        <v>2556</v>
      </c>
      <c r="N3173" s="14" t="s">
        <v>21</v>
      </c>
      <c r="O3173" s="6" t="s">
        <v>22</v>
      </c>
    </row>
    <row r="3174" spans="1:15" hidden="1">
      <c r="A3174" t="s">
        <v>15</v>
      </c>
      <c r="B3174" t="str">
        <f>"FES1162691694"</f>
        <v>FES1162691694</v>
      </c>
      <c r="C3174" s="9">
        <v>43608</v>
      </c>
      <c r="D3174">
        <v>1</v>
      </c>
      <c r="E3174">
        <v>2170690009</v>
      </c>
      <c r="F3174" t="s">
        <v>16</v>
      </c>
      <c r="G3174" t="s">
        <v>17</v>
      </c>
      <c r="H3174" t="s">
        <v>141</v>
      </c>
      <c r="I3174" t="s">
        <v>142</v>
      </c>
      <c r="J3174" t="s">
        <v>213</v>
      </c>
      <c r="K3174" s="9">
        <v>43609</v>
      </c>
      <c r="L3174" s="10">
        <v>0.33749999999999997</v>
      </c>
      <c r="M3174" t="s">
        <v>214</v>
      </c>
      <c r="N3174" t="s">
        <v>4147</v>
      </c>
      <c r="O3174" t="s">
        <v>22</v>
      </c>
    </row>
    <row r="3175" spans="1:15" hidden="1">
      <c r="A3175" t="s">
        <v>15</v>
      </c>
      <c r="B3175" t="str">
        <f>"FES1162691576"</f>
        <v>FES1162691576</v>
      </c>
      <c r="C3175" s="9">
        <v>43608</v>
      </c>
      <c r="D3175">
        <v>1</v>
      </c>
      <c r="E3175">
        <v>2170688354</v>
      </c>
      <c r="F3175" t="s">
        <v>16</v>
      </c>
      <c r="G3175" t="s">
        <v>17</v>
      </c>
      <c r="H3175" t="s">
        <v>141</v>
      </c>
      <c r="I3175" t="s">
        <v>448</v>
      </c>
      <c r="J3175" t="s">
        <v>449</v>
      </c>
      <c r="K3175" s="9">
        <v>43609</v>
      </c>
      <c r="L3175" s="10">
        <v>0.34652777777777777</v>
      </c>
      <c r="M3175" t="s">
        <v>4047</v>
      </c>
      <c r="N3175" t="s">
        <v>4148</v>
      </c>
      <c r="O3175" t="s">
        <v>22</v>
      </c>
    </row>
    <row r="3176" spans="1:15" hidden="1">
      <c r="A3176" t="s">
        <v>15</v>
      </c>
      <c r="B3176" t="str">
        <f>"FES1162691577"</f>
        <v>FES1162691577</v>
      </c>
      <c r="C3176" s="9">
        <v>43608</v>
      </c>
      <c r="D3176">
        <v>1</v>
      </c>
      <c r="E3176">
        <v>2170688356</v>
      </c>
      <c r="F3176" t="s">
        <v>16</v>
      </c>
      <c r="G3176" t="s">
        <v>17</v>
      </c>
      <c r="H3176" t="s">
        <v>141</v>
      </c>
      <c r="I3176" t="s">
        <v>142</v>
      </c>
      <c r="J3176" t="s">
        <v>917</v>
      </c>
      <c r="K3176" s="9">
        <v>43609</v>
      </c>
      <c r="L3176" s="10">
        <v>0.31111111111111112</v>
      </c>
      <c r="M3176" t="s">
        <v>3915</v>
      </c>
      <c r="N3176" t="s">
        <v>4149</v>
      </c>
      <c r="O3176" t="s">
        <v>22</v>
      </c>
    </row>
    <row r="3177" spans="1:15" hidden="1">
      <c r="A3177" t="s">
        <v>15</v>
      </c>
      <c r="B3177" t="str">
        <f>"FES1162691567"</f>
        <v>FES1162691567</v>
      </c>
      <c r="C3177" s="9">
        <v>43608</v>
      </c>
      <c r="D3177">
        <v>1</v>
      </c>
      <c r="E3177">
        <v>2170688278</v>
      </c>
      <c r="F3177" t="s">
        <v>16</v>
      </c>
      <c r="G3177" t="s">
        <v>17</v>
      </c>
      <c r="H3177" t="s">
        <v>300</v>
      </c>
      <c r="I3177" t="s">
        <v>1553</v>
      </c>
      <c r="J3177" t="s">
        <v>2822</v>
      </c>
      <c r="K3177" s="9">
        <v>43609</v>
      </c>
      <c r="L3177" s="10">
        <v>0.41597222222222219</v>
      </c>
      <c r="M3177" t="s">
        <v>2823</v>
      </c>
      <c r="N3177" t="s">
        <v>4150</v>
      </c>
      <c r="O3177" t="s">
        <v>22</v>
      </c>
    </row>
    <row r="3178" spans="1:15" hidden="1">
      <c r="A3178" t="s">
        <v>15</v>
      </c>
      <c r="B3178" t="str">
        <f>"FES1162691537"</f>
        <v>FES1162691537</v>
      </c>
      <c r="C3178" s="9">
        <v>43608</v>
      </c>
      <c r="D3178">
        <v>1</v>
      </c>
      <c r="E3178">
        <v>2170688031</v>
      </c>
      <c r="F3178" t="s">
        <v>16</v>
      </c>
      <c r="G3178" t="s">
        <v>17</v>
      </c>
      <c r="H3178" t="s">
        <v>141</v>
      </c>
      <c r="I3178" t="s">
        <v>448</v>
      </c>
      <c r="J3178" t="s">
        <v>449</v>
      </c>
      <c r="K3178" s="9">
        <v>43609</v>
      </c>
      <c r="L3178" s="10">
        <v>0.34652777777777777</v>
      </c>
      <c r="M3178" t="s">
        <v>4047</v>
      </c>
      <c r="N3178" t="s">
        <v>4151</v>
      </c>
      <c r="O3178" t="s">
        <v>22</v>
      </c>
    </row>
    <row r="3179" spans="1:15" hidden="1">
      <c r="A3179" t="s">
        <v>15</v>
      </c>
      <c r="B3179" t="str">
        <f>"FES1162691634"</f>
        <v>FES1162691634</v>
      </c>
      <c r="C3179" s="9">
        <v>43608</v>
      </c>
      <c r="D3179">
        <v>1</v>
      </c>
      <c r="E3179">
        <v>2170689355</v>
      </c>
      <c r="F3179" t="s">
        <v>16</v>
      </c>
      <c r="G3179" t="s">
        <v>17</v>
      </c>
      <c r="H3179" t="s">
        <v>32</v>
      </c>
      <c r="I3179" t="s">
        <v>269</v>
      </c>
      <c r="J3179" t="s">
        <v>683</v>
      </c>
      <c r="K3179" s="9">
        <v>43609</v>
      </c>
      <c r="L3179" s="10">
        <v>0.34722222222222227</v>
      </c>
      <c r="M3179" t="s">
        <v>931</v>
      </c>
      <c r="N3179" t="s">
        <v>4152</v>
      </c>
      <c r="O3179" t="s">
        <v>22</v>
      </c>
    </row>
    <row r="3180" spans="1:15" hidden="1">
      <c r="A3180" t="s">
        <v>15</v>
      </c>
      <c r="B3180" t="str">
        <f>"FES1162691722"</f>
        <v>FES1162691722</v>
      </c>
      <c r="C3180" s="9">
        <v>43608</v>
      </c>
      <c r="D3180">
        <v>1</v>
      </c>
      <c r="E3180">
        <v>2170689065</v>
      </c>
      <c r="F3180" t="s">
        <v>16</v>
      </c>
      <c r="G3180" t="s">
        <v>17</v>
      </c>
      <c r="H3180" t="s">
        <v>43</v>
      </c>
      <c r="I3180" t="s">
        <v>44</v>
      </c>
      <c r="J3180" t="s">
        <v>591</v>
      </c>
      <c r="K3180" s="9">
        <v>43609</v>
      </c>
      <c r="L3180" s="10">
        <v>0.32708333333333334</v>
      </c>
      <c r="M3180" t="s">
        <v>3545</v>
      </c>
      <c r="N3180" t="s">
        <v>4153</v>
      </c>
      <c r="O3180" t="s">
        <v>22</v>
      </c>
    </row>
    <row r="3181" spans="1:15" hidden="1">
      <c r="A3181" t="s">
        <v>15</v>
      </c>
      <c r="B3181" t="str">
        <f>"FES1162691655"</f>
        <v>FES1162691655</v>
      </c>
      <c r="C3181" s="9">
        <v>43608</v>
      </c>
      <c r="D3181">
        <v>1</v>
      </c>
      <c r="E3181">
        <v>2170689961</v>
      </c>
      <c r="F3181" t="s">
        <v>16</v>
      </c>
      <c r="G3181" t="s">
        <v>17</v>
      </c>
      <c r="H3181" t="s">
        <v>141</v>
      </c>
      <c r="I3181" t="s">
        <v>142</v>
      </c>
      <c r="J3181" t="s">
        <v>4154</v>
      </c>
      <c r="K3181" s="9">
        <v>43609</v>
      </c>
      <c r="L3181" s="10">
        <v>0.32708333333333334</v>
      </c>
      <c r="M3181" t="s">
        <v>4155</v>
      </c>
      <c r="N3181" t="s">
        <v>4156</v>
      </c>
      <c r="O3181" t="s">
        <v>22</v>
      </c>
    </row>
    <row r="3182" spans="1:15" hidden="1">
      <c r="A3182" s="6" t="s">
        <v>15</v>
      </c>
      <c r="B3182" s="6" t="str">
        <f>"FES1162691650"</f>
        <v>FES1162691650</v>
      </c>
      <c r="C3182" s="7">
        <v>43608</v>
      </c>
      <c r="D3182" s="6">
        <v>1</v>
      </c>
      <c r="E3182" s="6">
        <v>2170689954</v>
      </c>
      <c r="F3182" s="6" t="s">
        <v>16</v>
      </c>
      <c r="G3182" s="6" t="s">
        <v>17</v>
      </c>
      <c r="H3182" s="6" t="s">
        <v>132</v>
      </c>
      <c r="I3182" s="6" t="s">
        <v>133</v>
      </c>
      <c r="J3182" s="6" t="s">
        <v>238</v>
      </c>
      <c r="K3182" s="7">
        <v>43609</v>
      </c>
      <c r="L3182" s="8">
        <v>0.34722222222222227</v>
      </c>
      <c r="M3182" s="6" t="s">
        <v>4157</v>
      </c>
      <c r="N3182" s="14" t="s">
        <v>21</v>
      </c>
      <c r="O3182" s="6" t="s">
        <v>22</v>
      </c>
    </row>
    <row r="3183" spans="1:15" hidden="1">
      <c r="A3183" t="s">
        <v>15</v>
      </c>
      <c r="B3183" t="str">
        <f>"FES1162691713"</f>
        <v>FES1162691713</v>
      </c>
      <c r="C3183" s="9">
        <v>43608</v>
      </c>
      <c r="D3183">
        <v>1</v>
      </c>
      <c r="E3183">
        <v>21706890029</v>
      </c>
      <c r="F3183" t="s">
        <v>16</v>
      </c>
      <c r="G3183" t="s">
        <v>17</v>
      </c>
      <c r="H3183" t="s">
        <v>132</v>
      </c>
      <c r="I3183" t="s">
        <v>133</v>
      </c>
      <c r="J3183" t="s">
        <v>437</v>
      </c>
      <c r="K3183" s="9">
        <v>43609</v>
      </c>
      <c r="L3183" s="10">
        <v>0.42777777777777781</v>
      </c>
      <c r="M3183" t="s">
        <v>438</v>
      </c>
      <c r="N3183" t="s">
        <v>4158</v>
      </c>
      <c r="O3183" t="s">
        <v>22</v>
      </c>
    </row>
    <row r="3184" spans="1:15" hidden="1">
      <c r="A3184" t="s">
        <v>15</v>
      </c>
      <c r="B3184" t="str">
        <f>"FES1162691665"</f>
        <v>FES1162691665</v>
      </c>
      <c r="C3184" s="9">
        <v>43608</v>
      </c>
      <c r="D3184">
        <v>1</v>
      </c>
      <c r="E3184">
        <v>2170689969</v>
      </c>
      <c r="F3184" t="s">
        <v>16</v>
      </c>
      <c r="G3184" t="s">
        <v>17</v>
      </c>
      <c r="H3184" t="s">
        <v>290</v>
      </c>
      <c r="I3184" t="s">
        <v>291</v>
      </c>
      <c r="J3184" t="s">
        <v>4159</v>
      </c>
      <c r="K3184" s="9">
        <v>43609</v>
      </c>
      <c r="L3184" s="10">
        <v>0.40972222222222227</v>
      </c>
      <c r="M3184" t="s">
        <v>28</v>
      </c>
      <c r="N3184" t="s">
        <v>4160</v>
      </c>
      <c r="O3184" t="s">
        <v>22</v>
      </c>
    </row>
    <row r="3185" spans="1:16" hidden="1">
      <c r="A3185" t="s">
        <v>15</v>
      </c>
      <c r="B3185" t="str">
        <f>"FES1162691601"</f>
        <v>FES1162691601</v>
      </c>
      <c r="C3185" s="9">
        <v>43608</v>
      </c>
      <c r="D3185">
        <v>1</v>
      </c>
      <c r="E3185">
        <v>2170689905</v>
      </c>
      <c r="F3185" t="s">
        <v>16</v>
      </c>
      <c r="G3185" t="s">
        <v>17</v>
      </c>
      <c r="H3185" t="s">
        <v>132</v>
      </c>
      <c r="I3185" t="s">
        <v>133</v>
      </c>
      <c r="J3185" t="s">
        <v>1008</v>
      </c>
      <c r="K3185" s="9">
        <v>43609</v>
      </c>
      <c r="L3185" s="10">
        <v>0.38541666666666669</v>
      </c>
      <c r="M3185" t="s">
        <v>3130</v>
      </c>
      <c r="N3185" t="s">
        <v>4161</v>
      </c>
      <c r="O3185" t="s">
        <v>22</v>
      </c>
    </row>
    <row r="3186" spans="1:16" hidden="1">
      <c r="A3186" t="s">
        <v>15</v>
      </c>
      <c r="B3186" t="str">
        <f>"FES1162691623"</f>
        <v>FES1162691623</v>
      </c>
      <c r="C3186" s="9">
        <v>43608</v>
      </c>
      <c r="D3186">
        <v>1</v>
      </c>
      <c r="E3186">
        <v>2170689931</v>
      </c>
      <c r="F3186" t="s">
        <v>16</v>
      </c>
      <c r="G3186" t="s">
        <v>17</v>
      </c>
      <c r="H3186" t="s">
        <v>141</v>
      </c>
      <c r="I3186" t="s">
        <v>185</v>
      </c>
      <c r="J3186" t="s">
        <v>1011</v>
      </c>
      <c r="K3186" s="9">
        <v>43609</v>
      </c>
      <c r="L3186" s="10">
        <v>0.31736111111111115</v>
      </c>
      <c r="M3186" t="s">
        <v>1012</v>
      </c>
      <c r="N3186" t="s">
        <v>4162</v>
      </c>
      <c r="O3186" t="s">
        <v>22</v>
      </c>
    </row>
    <row r="3187" spans="1:16" hidden="1">
      <c r="A3187" t="s">
        <v>15</v>
      </c>
      <c r="B3187" t="str">
        <f>"FES1162691693"</f>
        <v>FES1162691693</v>
      </c>
      <c r="C3187" s="9">
        <v>43608</v>
      </c>
      <c r="D3187">
        <v>1</v>
      </c>
      <c r="E3187">
        <v>21706890007</v>
      </c>
      <c r="F3187" t="s">
        <v>16</v>
      </c>
      <c r="G3187" t="s">
        <v>17</v>
      </c>
      <c r="H3187" t="s">
        <v>141</v>
      </c>
      <c r="I3187" t="s">
        <v>185</v>
      </c>
      <c r="J3187" t="s">
        <v>1916</v>
      </c>
      <c r="K3187" s="9">
        <v>43609</v>
      </c>
      <c r="L3187" s="10">
        <v>0.37152777777777773</v>
      </c>
      <c r="M3187" t="s">
        <v>4163</v>
      </c>
      <c r="N3187" t="s">
        <v>4164</v>
      </c>
      <c r="O3187" t="s">
        <v>22</v>
      </c>
    </row>
    <row r="3188" spans="1:16" hidden="1">
      <c r="A3188" t="s">
        <v>15</v>
      </c>
      <c r="B3188" t="str">
        <f>"FES1162691700"</f>
        <v>FES1162691700</v>
      </c>
      <c r="C3188" s="9">
        <v>43608</v>
      </c>
      <c r="D3188">
        <v>1</v>
      </c>
      <c r="E3188">
        <v>2170690015</v>
      </c>
      <c r="F3188" t="s">
        <v>16</v>
      </c>
      <c r="G3188" t="s">
        <v>17</v>
      </c>
      <c r="H3188" t="s">
        <v>290</v>
      </c>
      <c r="I3188" t="s">
        <v>291</v>
      </c>
      <c r="J3188" t="s">
        <v>4165</v>
      </c>
      <c r="K3188" s="9">
        <v>43609</v>
      </c>
      <c r="L3188" s="10">
        <v>0.37361111111111112</v>
      </c>
      <c r="M3188" t="s">
        <v>4166</v>
      </c>
      <c r="N3188" t="s">
        <v>4167</v>
      </c>
      <c r="O3188" t="s">
        <v>22</v>
      </c>
    </row>
    <row r="3189" spans="1:16" hidden="1">
      <c r="A3189" s="6" t="s">
        <v>15</v>
      </c>
      <c r="B3189" s="6" t="str">
        <f>"FES1162691593"</f>
        <v>FES1162691593</v>
      </c>
      <c r="C3189" s="7">
        <v>43608</v>
      </c>
      <c r="D3189" s="6">
        <v>1</v>
      </c>
      <c r="E3189" s="6">
        <v>21706889896</v>
      </c>
      <c r="F3189" s="6" t="s">
        <v>16</v>
      </c>
      <c r="G3189" s="6" t="s">
        <v>17</v>
      </c>
      <c r="H3189" s="6" t="s">
        <v>141</v>
      </c>
      <c r="I3189" s="6" t="s">
        <v>142</v>
      </c>
      <c r="J3189" s="6" t="s">
        <v>864</v>
      </c>
      <c r="K3189" s="7">
        <v>43609</v>
      </c>
      <c r="L3189" s="8">
        <v>0.36805555555555558</v>
      </c>
      <c r="M3189" s="6" t="s">
        <v>2254</v>
      </c>
      <c r="N3189" s="14" t="s">
        <v>21</v>
      </c>
      <c r="O3189" s="6" t="s">
        <v>22</v>
      </c>
    </row>
    <row r="3190" spans="1:16" hidden="1">
      <c r="A3190" s="6" t="s">
        <v>15</v>
      </c>
      <c r="B3190" s="6" t="str">
        <f>"FES1162691696"</f>
        <v>FES1162691696</v>
      </c>
      <c r="C3190" s="7">
        <v>43608</v>
      </c>
      <c r="D3190" s="6">
        <v>1</v>
      </c>
      <c r="E3190" s="6">
        <v>2170689852</v>
      </c>
      <c r="F3190" s="6" t="s">
        <v>16</v>
      </c>
      <c r="G3190" s="6" t="s">
        <v>17</v>
      </c>
      <c r="H3190" s="6" t="s">
        <v>132</v>
      </c>
      <c r="I3190" s="6" t="s">
        <v>133</v>
      </c>
      <c r="J3190" s="6" t="s">
        <v>189</v>
      </c>
      <c r="K3190" s="7">
        <v>43609</v>
      </c>
      <c r="L3190" s="8">
        <v>0.43472222222222223</v>
      </c>
      <c r="M3190" s="6" t="s">
        <v>190</v>
      </c>
      <c r="N3190" s="14" t="s">
        <v>21</v>
      </c>
      <c r="O3190" s="6" t="s">
        <v>22</v>
      </c>
    </row>
    <row r="3191" spans="1:16" hidden="1">
      <c r="A3191" s="6" t="s">
        <v>15</v>
      </c>
      <c r="B3191" s="6" t="str">
        <f>"FES1162691721"</f>
        <v>FES1162691721</v>
      </c>
      <c r="C3191" s="7">
        <v>43608</v>
      </c>
      <c r="D3191" s="6">
        <v>1</v>
      </c>
      <c r="E3191" s="6">
        <v>2170690041</v>
      </c>
      <c r="F3191" s="6" t="s">
        <v>16</v>
      </c>
      <c r="G3191" s="6" t="s">
        <v>17</v>
      </c>
      <c r="H3191" s="6" t="s">
        <v>141</v>
      </c>
      <c r="I3191" s="6" t="s">
        <v>458</v>
      </c>
      <c r="J3191" s="6" t="s">
        <v>4168</v>
      </c>
      <c r="K3191" s="7">
        <v>43609</v>
      </c>
      <c r="L3191" s="8">
        <v>0.56805555555555554</v>
      </c>
      <c r="M3191" s="6" t="s">
        <v>4169</v>
      </c>
      <c r="N3191" s="14" t="s">
        <v>21</v>
      </c>
      <c r="O3191" s="6" t="s">
        <v>22</v>
      </c>
    </row>
    <row r="3192" spans="1:16" hidden="1">
      <c r="A3192" s="14" t="s">
        <v>15</v>
      </c>
      <c r="B3192" s="14" t="str">
        <f>"FES1162691711"</f>
        <v>FES1162691711</v>
      </c>
      <c r="C3192" s="15">
        <v>43608</v>
      </c>
      <c r="D3192" s="14">
        <v>1</v>
      </c>
      <c r="E3192" s="14">
        <v>2170690017</v>
      </c>
      <c r="F3192" s="14" t="s">
        <v>16</v>
      </c>
      <c r="G3192" s="14" t="s">
        <v>17</v>
      </c>
      <c r="H3192" s="14" t="s">
        <v>290</v>
      </c>
      <c r="I3192" s="14" t="s">
        <v>309</v>
      </c>
      <c r="J3192" s="14" t="s">
        <v>331</v>
      </c>
      <c r="K3192" s="15">
        <v>43609</v>
      </c>
      <c r="L3192" s="16">
        <v>0.42708333333333331</v>
      </c>
      <c r="M3192" s="14" t="s">
        <v>332</v>
      </c>
      <c r="N3192" s="14" t="s">
        <v>21</v>
      </c>
      <c r="O3192" s="14" t="s">
        <v>22</v>
      </c>
    </row>
    <row r="3193" spans="1:16" hidden="1">
      <c r="A3193" s="3" t="s">
        <v>15</v>
      </c>
      <c r="B3193" s="3" t="str">
        <f>"FES1162691864"</f>
        <v>FES1162691864</v>
      </c>
      <c r="C3193" s="4">
        <v>43609</v>
      </c>
      <c r="D3193" s="3">
        <v>1</v>
      </c>
      <c r="E3193" s="3">
        <v>2170690210</v>
      </c>
      <c r="F3193" s="3" t="s">
        <v>16</v>
      </c>
      <c r="G3193" s="3" t="s">
        <v>17</v>
      </c>
      <c r="H3193" s="3" t="s">
        <v>37</v>
      </c>
      <c r="I3193" s="3" t="s">
        <v>38</v>
      </c>
      <c r="J3193" s="3" t="s">
        <v>39</v>
      </c>
      <c r="K3193" s="3" t="s">
        <v>1730</v>
      </c>
      <c r="L3193" s="3"/>
      <c r="M3193" s="3" t="s">
        <v>1731</v>
      </c>
      <c r="N3193" s="3" t="s">
        <v>4170</v>
      </c>
      <c r="O3193" s="3" t="s">
        <v>22</v>
      </c>
    </row>
    <row r="3194" spans="1:16" hidden="1">
      <c r="A3194" s="14" t="s">
        <v>15</v>
      </c>
      <c r="B3194" s="14" t="str">
        <f>"FES1162691502"</f>
        <v>FES1162691502</v>
      </c>
      <c r="C3194" s="15">
        <v>43609</v>
      </c>
      <c r="D3194" s="14">
        <v>2</v>
      </c>
      <c r="E3194" s="14">
        <v>2170689875</v>
      </c>
      <c r="F3194" s="14" t="s">
        <v>16</v>
      </c>
      <c r="G3194" s="14" t="s">
        <v>17</v>
      </c>
      <c r="H3194" s="14" t="s">
        <v>141</v>
      </c>
      <c r="I3194" s="14" t="s">
        <v>185</v>
      </c>
      <c r="J3194" s="14" t="s">
        <v>473</v>
      </c>
      <c r="K3194" s="14" t="s">
        <v>1730</v>
      </c>
      <c r="L3194" s="14"/>
      <c r="M3194" s="14" t="s">
        <v>1731</v>
      </c>
      <c r="N3194" s="14" t="s">
        <v>4170</v>
      </c>
      <c r="O3194" s="14" t="s">
        <v>22</v>
      </c>
    </row>
    <row r="3195" spans="1:16" hidden="1">
      <c r="A3195" s="6" t="s">
        <v>15</v>
      </c>
      <c r="B3195" s="6" t="str">
        <f>"FES1162691864"</f>
        <v>FES1162691864</v>
      </c>
      <c r="C3195" s="7">
        <v>43609</v>
      </c>
      <c r="D3195" s="6">
        <v>1</v>
      </c>
      <c r="E3195" s="6">
        <v>2170690210</v>
      </c>
      <c r="F3195" s="6" t="s">
        <v>16</v>
      </c>
      <c r="G3195" s="6" t="s">
        <v>17</v>
      </c>
      <c r="H3195" s="6" t="s">
        <v>37</v>
      </c>
      <c r="I3195" s="6" t="s">
        <v>38</v>
      </c>
      <c r="J3195" s="6" t="s">
        <v>39</v>
      </c>
      <c r="K3195" s="7">
        <v>43612</v>
      </c>
      <c r="L3195" s="8">
        <v>0.34652777777777777</v>
      </c>
      <c r="M3195" s="6" t="s">
        <v>40</v>
      </c>
      <c r="N3195" s="14" t="s">
        <v>21</v>
      </c>
      <c r="O3195" s="6" t="s">
        <v>22</v>
      </c>
      <c r="P3195" s="30"/>
    </row>
    <row r="3196" spans="1:16" hidden="1">
      <c r="A3196" t="s">
        <v>15</v>
      </c>
      <c r="B3196" t="str">
        <f>"FES1162691502"</f>
        <v>FES1162691502</v>
      </c>
      <c r="C3196" s="9">
        <v>43609</v>
      </c>
      <c r="D3196">
        <v>2</v>
      </c>
      <c r="E3196">
        <v>2170689875</v>
      </c>
      <c r="F3196" t="s">
        <v>16</v>
      </c>
      <c r="G3196" t="s">
        <v>17</v>
      </c>
      <c r="H3196" t="s">
        <v>141</v>
      </c>
      <c r="I3196" t="s">
        <v>185</v>
      </c>
      <c r="J3196" t="s">
        <v>473</v>
      </c>
      <c r="K3196" s="9">
        <v>43612</v>
      </c>
      <c r="L3196" s="10">
        <v>0.41666666666666669</v>
      </c>
      <c r="M3196" t="s">
        <v>4171</v>
      </c>
      <c r="N3196" t="s">
        <v>4172</v>
      </c>
      <c r="O3196" t="s">
        <v>22</v>
      </c>
    </row>
    <row r="3197" spans="1:16" hidden="1">
      <c r="A3197" t="s">
        <v>15</v>
      </c>
      <c r="B3197" t="str">
        <f>"FES1162691810"</f>
        <v>FES1162691810</v>
      </c>
      <c r="C3197" s="9">
        <v>43609</v>
      </c>
      <c r="D3197">
        <v>1</v>
      </c>
      <c r="E3197">
        <v>2170688907</v>
      </c>
      <c r="F3197" t="s">
        <v>16</v>
      </c>
      <c r="G3197" t="s">
        <v>17</v>
      </c>
      <c r="H3197" t="s">
        <v>141</v>
      </c>
      <c r="I3197" t="s">
        <v>142</v>
      </c>
      <c r="J3197" t="s">
        <v>4173</v>
      </c>
      <c r="K3197" s="9">
        <v>43612</v>
      </c>
      <c r="L3197" s="10">
        <v>0.33402777777777781</v>
      </c>
      <c r="M3197" t="s">
        <v>4174</v>
      </c>
      <c r="N3197" t="s">
        <v>4175</v>
      </c>
      <c r="O3197" t="s">
        <v>22</v>
      </c>
    </row>
    <row r="3198" spans="1:16" hidden="1">
      <c r="A3198" t="s">
        <v>15</v>
      </c>
      <c r="B3198" t="str">
        <f>"FES1162691735"</f>
        <v>FES1162691735</v>
      </c>
      <c r="C3198" s="9">
        <v>43609</v>
      </c>
      <c r="D3198">
        <v>1</v>
      </c>
      <c r="E3198">
        <v>2170689891</v>
      </c>
      <c r="F3198" t="s">
        <v>16</v>
      </c>
      <c r="G3198" t="s">
        <v>17</v>
      </c>
      <c r="H3198" t="s">
        <v>290</v>
      </c>
      <c r="I3198" t="s">
        <v>316</v>
      </c>
      <c r="J3198" t="s">
        <v>284</v>
      </c>
      <c r="K3198" s="9">
        <v>43612</v>
      </c>
      <c r="L3198" s="10">
        <v>0.44861111111111113</v>
      </c>
      <c r="M3198" t="s">
        <v>320</v>
      </c>
      <c r="N3198" t="s">
        <v>4176</v>
      </c>
      <c r="O3198" t="s">
        <v>22</v>
      </c>
    </row>
    <row r="3199" spans="1:16" hidden="1">
      <c r="A3199" t="s">
        <v>15</v>
      </c>
      <c r="B3199" t="str">
        <f>"FES1162691769"</f>
        <v>FES1162691769</v>
      </c>
      <c r="C3199" s="9">
        <v>43609</v>
      </c>
      <c r="D3199">
        <v>1</v>
      </c>
      <c r="E3199">
        <v>2170690094</v>
      </c>
      <c r="F3199" t="s">
        <v>16</v>
      </c>
      <c r="G3199" t="s">
        <v>17</v>
      </c>
      <c r="H3199" t="s">
        <v>300</v>
      </c>
      <c r="I3199" t="s">
        <v>301</v>
      </c>
      <c r="J3199" t="s">
        <v>3781</v>
      </c>
      <c r="K3199" s="9">
        <v>43612</v>
      </c>
      <c r="L3199" s="10">
        <v>0.4236111111111111</v>
      </c>
      <c r="M3199" t="s">
        <v>1609</v>
      </c>
      <c r="N3199" t="s">
        <v>4177</v>
      </c>
      <c r="O3199" t="s">
        <v>22</v>
      </c>
    </row>
    <row r="3200" spans="1:16" hidden="1">
      <c r="A3200" t="s">
        <v>15</v>
      </c>
      <c r="B3200" t="str">
        <f>"FES1162691783"</f>
        <v>FES1162691783</v>
      </c>
      <c r="C3200" s="9">
        <v>43609</v>
      </c>
      <c r="D3200">
        <v>1</v>
      </c>
      <c r="E3200">
        <v>21706890110</v>
      </c>
      <c r="F3200" t="s">
        <v>16</v>
      </c>
      <c r="G3200" t="s">
        <v>17</v>
      </c>
      <c r="H3200" t="s">
        <v>300</v>
      </c>
      <c r="I3200" t="s">
        <v>301</v>
      </c>
      <c r="J3200" t="s">
        <v>3781</v>
      </c>
      <c r="K3200" s="9">
        <v>43612</v>
      </c>
      <c r="L3200" s="10">
        <v>0.41666666666666669</v>
      </c>
      <c r="M3200" t="s">
        <v>1609</v>
      </c>
      <c r="N3200" t="s">
        <v>4178</v>
      </c>
      <c r="O3200" t="s">
        <v>22</v>
      </c>
    </row>
    <row r="3201" spans="1:16" hidden="1">
      <c r="A3201" t="s">
        <v>15</v>
      </c>
      <c r="B3201" t="str">
        <f>"FES1162691770"</f>
        <v>FES1162691770</v>
      </c>
      <c r="C3201" s="9">
        <v>43609</v>
      </c>
      <c r="D3201">
        <v>1</v>
      </c>
      <c r="E3201">
        <v>21706890097</v>
      </c>
      <c r="F3201" t="s">
        <v>16</v>
      </c>
      <c r="G3201" t="s">
        <v>17</v>
      </c>
      <c r="H3201" t="s">
        <v>300</v>
      </c>
      <c r="I3201" t="s">
        <v>301</v>
      </c>
      <c r="J3201" t="s">
        <v>3781</v>
      </c>
      <c r="K3201" s="9">
        <v>43612</v>
      </c>
      <c r="L3201" s="10">
        <v>0.4236111111111111</v>
      </c>
      <c r="M3201" t="s">
        <v>1609</v>
      </c>
      <c r="N3201" t="s">
        <v>4179</v>
      </c>
      <c r="O3201" t="s">
        <v>22</v>
      </c>
    </row>
    <row r="3202" spans="1:16" hidden="1">
      <c r="A3202" t="s">
        <v>15</v>
      </c>
      <c r="B3202" t="str">
        <f>"FES1162691604"</f>
        <v>FES1162691604</v>
      </c>
      <c r="C3202" s="9">
        <v>43609</v>
      </c>
      <c r="D3202">
        <v>1</v>
      </c>
      <c r="E3202">
        <v>2170689908</v>
      </c>
      <c r="F3202" t="s">
        <v>16</v>
      </c>
      <c r="G3202" t="s">
        <v>17</v>
      </c>
      <c r="H3202" t="s">
        <v>132</v>
      </c>
      <c r="I3202" t="s">
        <v>133</v>
      </c>
      <c r="J3202" t="s">
        <v>639</v>
      </c>
      <c r="K3202" s="9">
        <v>43612</v>
      </c>
      <c r="L3202" s="10">
        <v>0.3833333333333333</v>
      </c>
      <c r="M3202" t="s">
        <v>3434</v>
      </c>
      <c r="N3202" t="s">
        <v>4180</v>
      </c>
      <c r="O3202" t="s">
        <v>22</v>
      </c>
    </row>
    <row r="3203" spans="1:16" hidden="1">
      <c r="A3203" t="s">
        <v>15</v>
      </c>
      <c r="B3203" t="str">
        <f>"FES1162691635"</f>
        <v>FES1162691635</v>
      </c>
      <c r="C3203" s="9">
        <v>43609</v>
      </c>
      <c r="D3203">
        <v>1</v>
      </c>
      <c r="E3203">
        <v>2170689451</v>
      </c>
      <c r="F3203" t="s">
        <v>16</v>
      </c>
      <c r="G3203" t="s">
        <v>17</v>
      </c>
      <c r="H3203" t="s">
        <v>290</v>
      </c>
      <c r="I3203" t="s">
        <v>291</v>
      </c>
      <c r="J3203" t="s">
        <v>1293</v>
      </c>
      <c r="K3203" s="9">
        <v>43612</v>
      </c>
      <c r="L3203" s="10">
        <v>0.34027777777777773</v>
      </c>
      <c r="M3203" t="s">
        <v>3861</v>
      </c>
      <c r="N3203" t="s">
        <v>4181</v>
      </c>
      <c r="O3203" t="s">
        <v>22</v>
      </c>
    </row>
    <row r="3204" spans="1:16" hidden="1">
      <c r="A3204" t="s">
        <v>15</v>
      </c>
      <c r="B3204" t="str">
        <f>"FES1162691774"</f>
        <v>FES1162691774</v>
      </c>
      <c r="C3204" s="9">
        <v>43609</v>
      </c>
      <c r="D3204">
        <v>1</v>
      </c>
      <c r="E3204">
        <v>2170690101</v>
      </c>
      <c r="F3204" t="s">
        <v>16</v>
      </c>
      <c r="G3204" t="s">
        <v>17</v>
      </c>
      <c r="H3204" t="s">
        <v>300</v>
      </c>
      <c r="I3204" t="s">
        <v>301</v>
      </c>
      <c r="J3204" t="s">
        <v>3781</v>
      </c>
      <c r="K3204" s="9">
        <v>43612</v>
      </c>
      <c r="L3204" s="10">
        <v>0.4236111111111111</v>
      </c>
      <c r="M3204" t="s">
        <v>1609</v>
      </c>
      <c r="N3204" t="s">
        <v>4182</v>
      </c>
      <c r="O3204" t="s">
        <v>22</v>
      </c>
    </row>
    <row r="3205" spans="1:16" hidden="1">
      <c r="A3205" s="6" t="s">
        <v>15</v>
      </c>
      <c r="B3205" s="6" t="str">
        <f>"FES1162691809"</f>
        <v>FES1162691809</v>
      </c>
      <c r="C3205" s="7">
        <v>43609</v>
      </c>
      <c r="D3205" s="6">
        <v>1</v>
      </c>
      <c r="E3205" s="6">
        <v>2170690144</v>
      </c>
      <c r="F3205" s="6" t="s">
        <v>16</v>
      </c>
      <c r="G3205" s="6" t="s">
        <v>17</v>
      </c>
      <c r="H3205" s="6" t="s">
        <v>43</v>
      </c>
      <c r="I3205" s="6" t="s">
        <v>54</v>
      </c>
      <c r="J3205" s="6" t="s">
        <v>216</v>
      </c>
      <c r="K3205" s="7">
        <v>43612</v>
      </c>
      <c r="L3205" s="8">
        <v>0.40208333333333335</v>
      </c>
      <c r="M3205" s="6" t="s">
        <v>1443</v>
      </c>
      <c r="N3205" s="14" t="s">
        <v>21</v>
      </c>
      <c r="O3205" s="6" t="s">
        <v>22</v>
      </c>
      <c r="P3205" s="30"/>
    </row>
    <row r="3206" spans="1:16" hidden="1">
      <c r="A3206" t="s">
        <v>15</v>
      </c>
      <c r="B3206" t="str">
        <f>"FES1162691815"</f>
        <v>FES1162691815</v>
      </c>
      <c r="C3206" s="9">
        <v>43609</v>
      </c>
      <c r="D3206">
        <v>1</v>
      </c>
      <c r="E3206">
        <v>2170690153</v>
      </c>
      <c r="F3206" t="s">
        <v>16</v>
      </c>
      <c r="G3206" t="s">
        <v>17</v>
      </c>
      <c r="H3206" t="s">
        <v>43</v>
      </c>
      <c r="I3206" t="s">
        <v>44</v>
      </c>
      <c r="J3206" t="s">
        <v>2006</v>
      </c>
      <c r="K3206" s="9">
        <v>43612</v>
      </c>
      <c r="L3206" s="10">
        <v>0.44513888888888892</v>
      </c>
      <c r="M3206" t="s">
        <v>4183</v>
      </c>
      <c r="N3206" t="s">
        <v>4184</v>
      </c>
      <c r="O3206" t="s">
        <v>22</v>
      </c>
    </row>
    <row r="3207" spans="1:16" hidden="1">
      <c r="A3207" s="3" t="s">
        <v>15</v>
      </c>
      <c r="B3207" s="3" t="str">
        <f>"FES1162691734"</f>
        <v>FES1162691734</v>
      </c>
      <c r="C3207" s="4">
        <v>43609</v>
      </c>
      <c r="D3207" s="3">
        <v>1</v>
      </c>
      <c r="E3207" s="3">
        <v>2170689772</v>
      </c>
      <c r="F3207" s="3" t="s">
        <v>16</v>
      </c>
      <c r="G3207" s="3" t="s">
        <v>17</v>
      </c>
      <c r="H3207" s="3" t="s">
        <v>290</v>
      </c>
      <c r="I3207" s="3" t="s">
        <v>291</v>
      </c>
      <c r="J3207" s="3" t="s">
        <v>1913</v>
      </c>
      <c r="K3207" s="4">
        <v>43612</v>
      </c>
      <c r="L3207" s="5">
        <v>0.3611111111111111</v>
      </c>
      <c r="M3207" s="3" t="s">
        <v>4185</v>
      </c>
      <c r="N3207" s="20" t="s">
        <v>21</v>
      </c>
      <c r="O3207" s="3" t="s">
        <v>22</v>
      </c>
      <c r="P3207" s="31"/>
    </row>
    <row r="3208" spans="1:16" hidden="1">
      <c r="A3208" t="s">
        <v>15</v>
      </c>
      <c r="B3208" t="str">
        <f>"FES1162691797"</f>
        <v>FES1162691797</v>
      </c>
      <c r="C3208" s="9">
        <v>43609</v>
      </c>
      <c r="D3208">
        <v>1</v>
      </c>
      <c r="E3208">
        <v>2170690122</v>
      </c>
      <c r="F3208" t="s">
        <v>16</v>
      </c>
      <c r="G3208" t="s">
        <v>17</v>
      </c>
      <c r="H3208" t="s">
        <v>290</v>
      </c>
      <c r="I3208" t="s">
        <v>316</v>
      </c>
      <c r="J3208" t="s">
        <v>317</v>
      </c>
      <c r="K3208" s="9">
        <v>43612</v>
      </c>
      <c r="L3208" s="10">
        <v>0.5</v>
      </c>
      <c r="M3208" t="s">
        <v>92</v>
      </c>
      <c r="N3208" t="s">
        <v>4186</v>
      </c>
      <c r="O3208" t="s">
        <v>22</v>
      </c>
    </row>
    <row r="3209" spans="1:16" hidden="1">
      <c r="A3209" s="3" t="s">
        <v>15</v>
      </c>
      <c r="B3209" s="3" t="str">
        <f>"FES1162691689"</f>
        <v>FES1162691689</v>
      </c>
      <c r="C3209" s="4">
        <v>43609</v>
      </c>
      <c r="D3209" s="3">
        <v>1</v>
      </c>
      <c r="E3209" s="3">
        <v>2170690002</v>
      </c>
      <c r="F3209" s="3" t="s">
        <v>16</v>
      </c>
      <c r="G3209" s="3" t="s">
        <v>17</v>
      </c>
      <c r="H3209" s="3" t="s">
        <v>290</v>
      </c>
      <c r="I3209" s="3" t="s">
        <v>291</v>
      </c>
      <c r="J3209" s="3" t="s">
        <v>1744</v>
      </c>
      <c r="K3209" s="4">
        <v>43612</v>
      </c>
      <c r="L3209" s="5">
        <v>0.36180555555555555</v>
      </c>
      <c r="M3209" s="3" t="s">
        <v>1745</v>
      </c>
      <c r="N3209" s="20" t="s">
        <v>21</v>
      </c>
      <c r="O3209" s="3" t="s">
        <v>22</v>
      </c>
      <c r="P3209" s="31"/>
    </row>
    <row r="3210" spans="1:16" hidden="1">
      <c r="A3210" s="14" t="s">
        <v>15</v>
      </c>
      <c r="B3210" s="14" t="str">
        <f>"FES1162691704"</f>
        <v>FES1162691704</v>
      </c>
      <c r="C3210" s="15">
        <v>43609</v>
      </c>
      <c r="D3210" s="14">
        <v>1</v>
      </c>
      <c r="E3210" s="14">
        <v>2170690021</v>
      </c>
      <c r="F3210" s="14" t="s">
        <v>16</v>
      </c>
      <c r="G3210" s="14" t="s">
        <v>17</v>
      </c>
      <c r="H3210" s="14" t="s">
        <v>141</v>
      </c>
      <c r="I3210" s="14" t="s">
        <v>448</v>
      </c>
      <c r="J3210" s="14" t="s">
        <v>449</v>
      </c>
      <c r="K3210" s="15">
        <v>43612</v>
      </c>
      <c r="L3210" s="16">
        <v>0.41666666666666669</v>
      </c>
      <c r="M3210" s="14" t="s">
        <v>1182</v>
      </c>
      <c r="N3210" s="14" t="s">
        <v>21</v>
      </c>
      <c r="O3210" s="14" t="s">
        <v>22</v>
      </c>
      <c r="P3210" s="32"/>
    </row>
    <row r="3211" spans="1:16" hidden="1">
      <c r="A3211" t="s">
        <v>15</v>
      </c>
      <c r="B3211" t="str">
        <f>"FES1162691818"</f>
        <v>FES1162691818</v>
      </c>
      <c r="C3211" s="9">
        <v>43609</v>
      </c>
      <c r="D3211">
        <v>1</v>
      </c>
      <c r="E3211">
        <v>2170690158</v>
      </c>
      <c r="F3211" t="s">
        <v>16</v>
      </c>
      <c r="G3211" t="s">
        <v>17</v>
      </c>
      <c r="H3211" t="s">
        <v>43</v>
      </c>
      <c r="I3211" t="s">
        <v>75</v>
      </c>
      <c r="J3211" t="s">
        <v>76</v>
      </c>
      <c r="K3211" s="9">
        <v>43612</v>
      </c>
      <c r="L3211" s="10">
        <v>0.46666666666666662</v>
      </c>
      <c r="M3211" t="s">
        <v>4187</v>
      </c>
      <c r="N3211" t="s">
        <v>4188</v>
      </c>
      <c r="O3211" t="s">
        <v>22</v>
      </c>
    </row>
    <row r="3212" spans="1:16" hidden="1">
      <c r="A3212" t="s">
        <v>15</v>
      </c>
      <c r="B3212" t="str">
        <f>"FES1162691817"</f>
        <v>FES1162691817</v>
      </c>
      <c r="C3212" s="9">
        <v>43609</v>
      </c>
      <c r="D3212">
        <v>1</v>
      </c>
      <c r="E3212">
        <v>2170690156</v>
      </c>
      <c r="F3212" t="s">
        <v>16</v>
      </c>
      <c r="G3212" t="s">
        <v>17</v>
      </c>
      <c r="H3212" t="s">
        <v>43</v>
      </c>
      <c r="I3212" t="s">
        <v>44</v>
      </c>
      <c r="J3212" t="s">
        <v>336</v>
      </c>
      <c r="K3212" s="9">
        <v>43612</v>
      </c>
      <c r="L3212" s="10">
        <v>0.33819444444444446</v>
      </c>
      <c r="M3212" t="s">
        <v>3032</v>
      </c>
      <c r="N3212" t="s">
        <v>4189</v>
      </c>
      <c r="O3212" t="s">
        <v>22</v>
      </c>
    </row>
    <row r="3213" spans="1:16" hidden="1">
      <c r="A3213" t="s">
        <v>15</v>
      </c>
      <c r="B3213" t="str">
        <f>"FES1162691741"</f>
        <v>FES1162691741</v>
      </c>
      <c r="C3213" s="9">
        <v>43609</v>
      </c>
      <c r="D3213">
        <v>1</v>
      </c>
      <c r="E3213">
        <v>2170690047</v>
      </c>
      <c r="F3213" t="s">
        <v>16</v>
      </c>
      <c r="G3213" t="s">
        <v>17</v>
      </c>
      <c r="H3213" t="s">
        <v>290</v>
      </c>
      <c r="I3213" t="s">
        <v>291</v>
      </c>
      <c r="J3213" t="s">
        <v>1293</v>
      </c>
      <c r="K3213" s="9">
        <v>43612</v>
      </c>
      <c r="L3213" s="10">
        <v>0.34027777777777773</v>
      </c>
      <c r="M3213" t="s">
        <v>3861</v>
      </c>
      <c r="N3213" t="s">
        <v>4190</v>
      </c>
      <c r="O3213" t="s">
        <v>22</v>
      </c>
    </row>
    <row r="3214" spans="1:16" hidden="1">
      <c r="A3214" t="s">
        <v>15</v>
      </c>
      <c r="B3214" t="str">
        <f>"FES1162691773"</f>
        <v>FES1162691773</v>
      </c>
      <c r="C3214" s="9">
        <v>43609</v>
      </c>
      <c r="D3214">
        <v>1</v>
      </c>
      <c r="E3214">
        <v>21706901000</v>
      </c>
      <c r="F3214" t="s">
        <v>16</v>
      </c>
      <c r="G3214" t="s">
        <v>17</v>
      </c>
      <c r="H3214" t="s">
        <v>43</v>
      </c>
      <c r="I3214" t="s">
        <v>75</v>
      </c>
      <c r="J3214" t="s">
        <v>2472</v>
      </c>
      <c r="K3214" s="9">
        <v>43612</v>
      </c>
      <c r="L3214" s="10">
        <v>0.45833333333333331</v>
      </c>
      <c r="M3214" t="s">
        <v>2473</v>
      </c>
      <c r="N3214" t="s">
        <v>4191</v>
      </c>
      <c r="O3214" t="s">
        <v>22</v>
      </c>
    </row>
    <row r="3215" spans="1:16" hidden="1">
      <c r="A3215" t="s">
        <v>15</v>
      </c>
      <c r="B3215" t="str">
        <f>"FES1162691779"</f>
        <v>FES1162691779</v>
      </c>
      <c r="C3215" s="9">
        <v>43609</v>
      </c>
      <c r="D3215">
        <v>1</v>
      </c>
      <c r="E3215">
        <v>2170690104</v>
      </c>
      <c r="F3215" t="s">
        <v>16</v>
      </c>
      <c r="G3215" t="s">
        <v>17</v>
      </c>
      <c r="H3215" t="s">
        <v>43</v>
      </c>
      <c r="I3215" t="s">
        <v>44</v>
      </c>
      <c r="J3215" t="s">
        <v>207</v>
      </c>
      <c r="K3215" s="9">
        <v>43612</v>
      </c>
      <c r="L3215" s="10">
        <v>0.37152777777777773</v>
      </c>
      <c r="M3215" t="s">
        <v>1502</v>
      </c>
      <c r="N3215" t="s">
        <v>4192</v>
      </c>
      <c r="O3215" t="s">
        <v>22</v>
      </c>
    </row>
    <row r="3216" spans="1:16" hidden="1">
      <c r="A3216" t="s">
        <v>15</v>
      </c>
      <c r="B3216" t="str">
        <f>"FES1162691826"</f>
        <v>FES1162691826</v>
      </c>
      <c r="C3216" s="9">
        <v>43609</v>
      </c>
      <c r="D3216">
        <v>1</v>
      </c>
      <c r="E3216">
        <v>21706590167</v>
      </c>
      <c r="F3216" t="s">
        <v>16</v>
      </c>
      <c r="G3216" t="s">
        <v>17</v>
      </c>
      <c r="H3216" t="s">
        <v>32</v>
      </c>
      <c r="I3216" t="s">
        <v>33</v>
      </c>
      <c r="J3216" t="s">
        <v>34</v>
      </c>
      <c r="K3216" s="9">
        <v>43612</v>
      </c>
      <c r="L3216" s="10">
        <v>0.34375</v>
      </c>
      <c r="M3216" t="s">
        <v>35</v>
      </c>
      <c r="N3216" t="s">
        <v>4193</v>
      </c>
      <c r="O3216" t="s">
        <v>22</v>
      </c>
    </row>
    <row r="3217" spans="1:16" hidden="1">
      <c r="A3217" t="s">
        <v>15</v>
      </c>
      <c r="B3217" t="str">
        <f>"FES1162691827"</f>
        <v>FES1162691827</v>
      </c>
      <c r="C3217" s="9">
        <v>43609</v>
      </c>
      <c r="D3217">
        <v>1</v>
      </c>
      <c r="E3217">
        <v>2170690168</v>
      </c>
      <c r="F3217" t="s">
        <v>16</v>
      </c>
      <c r="G3217" t="s">
        <v>17</v>
      </c>
      <c r="H3217" t="s">
        <v>37</v>
      </c>
      <c r="I3217" t="s">
        <v>38</v>
      </c>
      <c r="J3217" t="s">
        <v>766</v>
      </c>
      <c r="K3217" s="9">
        <v>43612</v>
      </c>
      <c r="L3217" s="10">
        <v>0.3666666666666667</v>
      </c>
      <c r="M3217" t="s">
        <v>1247</v>
      </c>
      <c r="N3217" t="s">
        <v>4194</v>
      </c>
      <c r="O3217" t="s">
        <v>22</v>
      </c>
    </row>
    <row r="3218" spans="1:16" hidden="1">
      <c r="A3218" t="s">
        <v>15</v>
      </c>
      <c r="B3218" t="str">
        <f>"FES1162691814"</f>
        <v>FES1162691814</v>
      </c>
      <c r="C3218" s="9">
        <v>43609</v>
      </c>
      <c r="D3218">
        <v>1</v>
      </c>
      <c r="E3218">
        <v>2170690152</v>
      </c>
      <c r="F3218" t="s">
        <v>16</v>
      </c>
      <c r="G3218" t="s">
        <v>17</v>
      </c>
      <c r="H3218" t="s">
        <v>43</v>
      </c>
      <c r="I3218" t="s">
        <v>44</v>
      </c>
      <c r="J3218" t="s">
        <v>733</v>
      </c>
      <c r="K3218" s="9">
        <v>43612</v>
      </c>
      <c r="L3218" s="10">
        <v>0.4909722222222222</v>
      </c>
      <c r="M3218" t="s">
        <v>734</v>
      </c>
      <c r="N3218" t="s">
        <v>4195</v>
      </c>
      <c r="O3218" t="s">
        <v>22</v>
      </c>
    </row>
    <row r="3219" spans="1:16" hidden="1">
      <c r="A3219" s="6" t="s">
        <v>15</v>
      </c>
      <c r="B3219" s="6" t="str">
        <f>"FES1162691728"</f>
        <v>FES1162691728</v>
      </c>
      <c r="C3219" s="7">
        <v>43609</v>
      </c>
      <c r="D3219" s="6">
        <v>1</v>
      </c>
      <c r="E3219" s="6">
        <v>2170688382</v>
      </c>
      <c r="F3219" s="6" t="s">
        <v>16</v>
      </c>
      <c r="G3219" s="6" t="s">
        <v>17</v>
      </c>
      <c r="H3219" s="6" t="s">
        <v>141</v>
      </c>
      <c r="I3219" s="6" t="s">
        <v>142</v>
      </c>
      <c r="J3219" s="6" t="s">
        <v>1380</v>
      </c>
      <c r="K3219" s="7">
        <v>43612</v>
      </c>
      <c r="L3219" s="8">
        <v>0.34652777777777777</v>
      </c>
      <c r="M3219" s="6" t="s">
        <v>3004</v>
      </c>
      <c r="N3219" s="14" t="s">
        <v>21</v>
      </c>
      <c r="O3219" s="6" t="s">
        <v>22</v>
      </c>
      <c r="P3219" s="30"/>
    </row>
    <row r="3220" spans="1:16" hidden="1">
      <c r="A3220" t="s">
        <v>15</v>
      </c>
      <c r="B3220" t="str">
        <f>"FES1162691808"</f>
        <v>FES1162691808</v>
      </c>
      <c r="C3220" s="9">
        <v>43609</v>
      </c>
      <c r="D3220">
        <v>1</v>
      </c>
      <c r="E3220">
        <v>2170686146</v>
      </c>
      <c r="F3220" t="s">
        <v>16</v>
      </c>
      <c r="G3220" t="s">
        <v>17</v>
      </c>
      <c r="H3220" t="s">
        <v>32</v>
      </c>
      <c r="I3220" t="s">
        <v>33</v>
      </c>
      <c r="J3220" t="s">
        <v>3953</v>
      </c>
      <c r="K3220" s="9">
        <v>43612</v>
      </c>
      <c r="L3220" s="10">
        <v>0.36180555555555555</v>
      </c>
      <c r="M3220" t="s">
        <v>4196</v>
      </c>
      <c r="N3220" t="s">
        <v>4197</v>
      </c>
      <c r="O3220" t="s">
        <v>22</v>
      </c>
    </row>
    <row r="3221" spans="1:16" hidden="1">
      <c r="A3221" t="s">
        <v>15</v>
      </c>
      <c r="B3221" t="str">
        <f>"FES1162691738"</f>
        <v>FES1162691738</v>
      </c>
      <c r="C3221" s="9">
        <v>43609</v>
      </c>
      <c r="D3221">
        <v>1</v>
      </c>
      <c r="E3221">
        <v>2170690039</v>
      </c>
      <c r="F3221" t="s">
        <v>16</v>
      </c>
      <c r="G3221" t="s">
        <v>17</v>
      </c>
      <c r="H3221" t="s">
        <v>43</v>
      </c>
      <c r="I3221" t="s">
        <v>75</v>
      </c>
      <c r="J3221" t="s">
        <v>3319</v>
      </c>
      <c r="K3221" s="9">
        <v>43612</v>
      </c>
      <c r="L3221" s="10">
        <v>0.43402777777777773</v>
      </c>
      <c r="M3221" t="s">
        <v>4198</v>
      </c>
      <c r="N3221" t="s">
        <v>4199</v>
      </c>
      <c r="O3221" t="s">
        <v>22</v>
      </c>
    </row>
    <row r="3222" spans="1:16" hidden="1">
      <c r="A3222" t="s">
        <v>15</v>
      </c>
      <c r="B3222" t="str">
        <f>"FES1162691742"</f>
        <v>FES1162691742</v>
      </c>
      <c r="C3222" s="9">
        <v>43609</v>
      </c>
      <c r="D3222">
        <v>1</v>
      </c>
      <c r="E3222">
        <v>2170690048</v>
      </c>
      <c r="F3222" t="s">
        <v>16</v>
      </c>
      <c r="G3222" t="s">
        <v>17</v>
      </c>
      <c r="H3222" t="s">
        <v>43</v>
      </c>
      <c r="I3222" t="s">
        <v>75</v>
      </c>
      <c r="J3222" t="s">
        <v>222</v>
      </c>
      <c r="K3222" s="9">
        <v>43612</v>
      </c>
      <c r="L3222" s="10">
        <v>0.45416666666666666</v>
      </c>
      <c r="M3222" t="s">
        <v>2515</v>
      </c>
      <c r="N3222" t="s">
        <v>4200</v>
      </c>
      <c r="O3222" t="s">
        <v>22</v>
      </c>
    </row>
    <row r="3223" spans="1:16" hidden="1">
      <c r="A3223" s="6" t="s">
        <v>15</v>
      </c>
      <c r="B3223" s="6" t="str">
        <f>"FES1162691793"</f>
        <v>FES1162691793</v>
      </c>
      <c r="C3223" s="7">
        <v>43609</v>
      </c>
      <c r="D3223" s="6">
        <v>1</v>
      </c>
      <c r="E3223" s="6">
        <v>2170690118</v>
      </c>
      <c r="F3223" s="6" t="s">
        <v>16</v>
      </c>
      <c r="G3223" s="6" t="s">
        <v>17</v>
      </c>
      <c r="H3223" s="6" t="s">
        <v>141</v>
      </c>
      <c r="I3223" s="6" t="s">
        <v>142</v>
      </c>
      <c r="J3223" s="6" t="s">
        <v>976</v>
      </c>
      <c r="K3223" s="7">
        <v>43612</v>
      </c>
      <c r="L3223" s="8">
        <v>0.42986111111111108</v>
      </c>
      <c r="M3223" s="6" t="s">
        <v>977</v>
      </c>
      <c r="N3223" s="14" t="s">
        <v>21</v>
      </c>
      <c r="O3223" s="6" t="s">
        <v>22</v>
      </c>
      <c r="P3223" s="30"/>
    </row>
    <row r="3224" spans="1:16" hidden="1">
      <c r="A3224" t="s">
        <v>15</v>
      </c>
      <c r="B3224" t="str">
        <f>"FES1162691726"</f>
        <v>FES1162691726</v>
      </c>
      <c r="C3224" s="9">
        <v>43609</v>
      </c>
      <c r="D3224">
        <v>1</v>
      </c>
      <c r="E3224">
        <v>2170687822</v>
      </c>
      <c r="F3224" t="s">
        <v>16</v>
      </c>
      <c r="G3224" t="s">
        <v>17</v>
      </c>
      <c r="H3224" t="s">
        <v>43</v>
      </c>
      <c r="I3224" t="s">
        <v>75</v>
      </c>
      <c r="J3224" t="s">
        <v>2472</v>
      </c>
      <c r="K3224" s="9">
        <v>43612</v>
      </c>
      <c r="L3224" s="10">
        <v>0.45833333333333331</v>
      </c>
      <c r="M3224" t="s">
        <v>2473</v>
      </c>
      <c r="N3224" t="s">
        <v>4201</v>
      </c>
      <c r="O3224" t="s">
        <v>22</v>
      </c>
    </row>
    <row r="3225" spans="1:16" hidden="1">
      <c r="A3225" t="s">
        <v>15</v>
      </c>
      <c r="B3225" t="str">
        <f>"FES1162691733"</f>
        <v>FES1162691733</v>
      </c>
      <c r="C3225" s="9">
        <v>43609</v>
      </c>
      <c r="D3225">
        <v>1</v>
      </c>
      <c r="E3225">
        <v>2170689606</v>
      </c>
      <c r="F3225" t="s">
        <v>16</v>
      </c>
      <c r="G3225" t="s">
        <v>17</v>
      </c>
      <c r="H3225" t="s">
        <v>43</v>
      </c>
      <c r="I3225" t="s">
        <v>44</v>
      </c>
      <c r="J3225" t="s">
        <v>176</v>
      </c>
      <c r="K3225" s="9">
        <v>43612</v>
      </c>
      <c r="L3225" s="10">
        <v>0.32500000000000001</v>
      </c>
      <c r="M3225" t="s">
        <v>177</v>
      </c>
      <c r="N3225" t="s">
        <v>4202</v>
      </c>
      <c r="O3225" t="s">
        <v>22</v>
      </c>
    </row>
    <row r="3226" spans="1:16" hidden="1">
      <c r="A3226" t="s">
        <v>15</v>
      </c>
      <c r="B3226" t="str">
        <f>"FES1162691766"</f>
        <v>FES1162691766</v>
      </c>
      <c r="C3226" s="9">
        <v>43609</v>
      </c>
      <c r="D3226">
        <v>1</v>
      </c>
      <c r="E3226">
        <v>217068916</v>
      </c>
      <c r="F3226" t="s">
        <v>16</v>
      </c>
      <c r="G3226" t="s">
        <v>17</v>
      </c>
      <c r="H3226" t="s">
        <v>132</v>
      </c>
      <c r="I3226" t="s">
        <v>133</v>
      </c>
      <c r="J3226" t="s">
        <v>189</v>
      </c>
      <c r="K3226" s="9">
        <v>43612</v>
      </c>
      <c r="L3226" s="10">
        <v>0.40625</v>
      </c>
      <c r="M3226" t="s">
        <v>585</v>
      </c>
      <c r="N3226" t="s">
        <v>4203</v>
      </c>
      <c r="O3226" t="s">
        <v>22</v>
      </c>
    </row>
    <row r="3227" spans="1:16" hidden="1">
      <c r="A3227" t="s">
        <v>15</v>
      </c>
      <c r="B3227" t="str">
        <f>"FES1162691753"</f>
        <v>FES1162691753</v>
      </c>
      <c r="C3227" s="9">
        <v>43609</v>
      </c>
      <c r="D3227">
        <v>1</v>
      </c>
      <c r="E3227">
        <v>21706890267</v>
      </c>
      <c r="F3227" t="s">
        <v>16</v>
      </c>
      <c r="G3227" t="s">
        <v>17</v>
      </c>
      <c r="H3227" t="s">
        <v>132</v>
      </c>
      <c r="I3227" t="s">
        <v>133</v>
      </c>
      <c r="J3227" t="s">
        <v>1813</v>
      </c>
      <c r="K3227" s="9">
        <v>43612</v>
      </c>
      <c r="L3227" s="10">
        <v>0.41736111111111113</v>
      </c>
      <c r="M3227" t="s">
        <v>4204</v>
      </c>
      <c r="N3227" t="s">
        <v>4205</v>
      </c>
      <c r="O3227" t="s">
        <v>22</v>
      </c>
    </row>
    <row r="3228" spans="1:16" hidden="1">
      <c r="A3228" t="s">
        <v>15</v>
      </c>
      <c r="B3228" t="str">
        <f>"FES1162691765"</f>
        <v>FES1162691765</v>
      </c>
      <c r="C3228" s="9">
        <v>43609</v>
      </c>
      <c r="D3228">
        <v>1</v>
      </c>
      <c r="E3228">
        <v>2170690089</v>
      </c>
      <c r="F3228" t="s">
        <v>16</v>
      </c>
      <c r="G3228" t="s">
        <v>17</v>
      </c>
      <c r="H3228" t="s">
        <v>141</v>
      </c>
      <c r="I3228" t="s">
        <v>185</v>
      </c>
      <c r="J3228" t="s">
        <v>210</v>
      </c>
      <c r="K3228" s="9">
        <v>43612</v>
      </c>
      <c r="L3228" s="10">
        <v>0.37083333333333335</v>
      </c>
      <c r="M3228" t="s">
        <v>211</v>
      </c>
      <c r="N3228" t="s">
        <v>4206</v>
      </c>
      <c r="O3228" t="s">
        <v>22</v>
      </c>
    </row>
    <row r="3229" spans="1:16" hidden="1">
      <c r="A3229" t="s">
        <v>15</v>
      </c>
      <c r="B3229" t="str">
        <f>"FES1162691701"</f>
        <v>FES1162691701</v>
      </c>
      <c r="C3229" s="9">
        <v>43609</v>
      </c>
      <c r="D3229">
        <v>1</v>
      </c>
      <c r="E3229">
        <v>2170690013</v>
      </c>
      <c r="F3229" t="s">
        <v>16</v>
      </c>
      <c r="G3229" t="s">
        <v>17</v>
      </c>
      <c r="H3229" t="s">
        <v>141</v>
      </c>
      <c r="I3229" t="s">
        <v>142</v>
      </c>
      <c r="J3229" t="s">
        <v>228</v>
      </c>
      <c r="K3229" s="9">
        <v>43612</v>
      </c>
      <c r="L3229" s="10">
        <v>0.40208333333333335</v>
      </c>
      <c r="M3229" t="s">
        <v>229</v>
      </c>
      <c r="N3229" t="s">
        <v>4207</v>
      </c>
      <c r="O3229" t="s">
        <v>22</v>
      </c>
    </row>
    <row r="3230" spans="1:16" hidden="1">
      <c r="A3230" t="s">
        <v>15</v>
      </c>
      <c r="B3230" t="str">
        <f>"FES1162691771"</f>
        <v>FES1162691771</v>
      </c>
      <c r="C3230" s="9">
        <v>43609</v>
      </c>
      <c r="D3230">
        <v>1</v>
      </c>
      <c r="E3230">
        <v>21706890098</v>
      </c>
      <c r="F3230" t="s">
        <v>16</v>
      </c>
      <c r="G3230" t="s">
        <v>17</v>
      </c>
      <c r="H3230" t="s">
        <v>132</v>
      </c>
      <c r="I3230" t="s">
        <v>3229</v>
      </c>
      <c r="J3230" t="s">
        <v>4208</v>
      </c>
      <c r="K3230" s="9">
        <v>43612</v>
      </c>
      <c r="L3230" s="10">
        <v>0.43958333333333338</v>
      </c>
      <c r="M3230" t="s">
        <v>4209</v>
      </c>
      <c r="N3230" t="s">
        <v>4210</v>
      </c>
      <c r="O3230" t="s">
        <v>22</v>
      </c>
    </row>
    <row r="3231" spans="1:16" hidden="1">
      <c r="A3231" t="s">
        <v>15</v>
      </c>
      <c r="B3231" t="str">
        <f>"FES1162691740"</f>
        <v>FES1162691740</v>
      </c>
      <c r="C3231" s="9">
        <v>43609</v>
      </c>
      <c r="D3231">
        <v>1</v>
      </c>
      <c r="E3231">
        <v>2170600944</v>
      </c>
      <c r="F3231" t="s">
        <v>16</v>
      </c>
      <c r="G3231" t="s">
        <v>17</v>
      </c>
      <c r="H3231" t="s">
        <v>141</v>
      </c>
      <c r="I3231" t="s">
        <v>142</v>
      </c>
      <c r="J3231" t="s">
        <v>2719</v>
      </c>
      <c r="K3231" s="9">
        <v>43612</v>
      </c>
      <c r="L3231" s="10">
        <v>0.37986111111111115</v>
      </c>
      <c r="M3231" t="s">
        <v>311</v>
      </c>
      <c r="N3231" t="s">
        <v>4211</v>
      </c>
      <c r="O3231" t="s">
        <v>22</v>
      </c>
    </row>
    <row r="3232" spans="1:16" hidden="1">
      <c r="A3232" t="s">
        <v>15</v>
      </c>
      <c r="B3232" t="str">
        <f>"FES1162691767"</f>
        <v>FES1162691767</v>
      </c>
      <c r="C3232" s="9">
        <v>43609</v>
      </c>
      <c r="D3232">
        <v>1</v>
      </c>
      <c r="E3232">
        <v>2170690095</v>
      </c>
      <c r="F3232" t="s">
        <v>16</v>
      </c>
      <c r="G3232" t="s">
        <v>17</v>
      </c>
      <c r="H3232" t="s">
        <v>141</v>
      </c>
      <c r="I3232" t="s">
        <v>185</v>
      </c>
      <c r="J3232" t="s">
        <v>353</v>
      </c>
      <c r="K3232" s="9">
        <v>43612</v>
      </c>
      <c r="L3232" s="10">
        <v>0.4375</v>
      </c>
      <c r="M3232" t="s">
        <v>4212</v>
      </c>
      <c r="N3232" t="s">
        <v>4213</v>
      </c>
      <c r="O3232" t="s">
        <v>22</v>
      </c>
    </row>
    <row r="3233" spans="1:16" hidden="1">
      <c r="A3233" t="s">
        <v>15</v>
      </c>
      <c r="B3233" t="str">
        <f>"FES1162691803"</f>
        <v>FES1162691803</v>
      </c>
      <c r="C3233" s="9">
        <v>43609</v>
      </c>
      <c r="D3233">
        <v>1</v>
      </c>
      <c r="E3233">
        <v>2170690126</v>
      </c>
      <c r="F3233" t="s">
        <v>16</v>
      </c>
      <c r="G3233" t="s">
        <v>17</v>
      </c>
      <c r="H3233" t="s">
        <v>141</v>
      </c>
      <c r="I3233" t="s">
        <v>142</v>
      </c>
      <c r="J3233" t="s">
        <v>213</v>
      </c>
      <c r="K3233" s="9">
        <v>43612</v>
      </c>
      <c r="L3233" s="10">
        <v>0.36249999999999999</v>
      </c>
      <c r="M3233" t="s">
        <v>214</v>
      </c>
      <c r="N3233" t="s">
        <v>4214</v>
      </c>
      <c r="O3233" t="s">
        <v>22</v>
      </c>
    </row>
    <row r="3234" spans="1:16" hidden="1">
      <c r="A3234" t="s">
        <v>15</v>
      </c>
      <c r="B3234" t="str">
        <f>"FES1162691750"</f>
        <v>FES1162691750</v>
      </c>
      <c r="C3234" s="9">
        <v>43609</v>
      </c>
      <c r="D3234">
        <v>1</v>
      </c>
      <c r="E3234">
        <v>2170690064</v>
      </c>
      <c r="F3234" t="s">
        <v>16</v>
      </c>
      <c r="G3234" t="s">
        <v>17</v>
      </c>
      <c r="H3234" t="s">
        <v>32</v>
      </c>
      <c r="I3234" t="s">
        <v>33</v>
      </c>
      <c r="J3234" t="s">
        <v>357</v>
      </c>
      <c r="K3234" s="9">
        <v>43612</v>
      </c>
      <c r="L3234" s="10">
        <v>0.42708333333333331</v>
      </c>
      <c r="M3234" t="s">
        <v>1051</v>
      </c>
      <c r="N3234" t="s">
        <v>4215</v>
      </c>
      <c r="O3234" t="s">
        <v>22</v>
      </c>
    </row>
    <row r="3235" spans="1:16" hidden="1">
      <c r="A3235" t="s">
        <v>15</v>
      </c>
      <c r="B3235" t="str">
        <f>"FES1162691785"</f>
        <v>FES1162691785</v>
      </c>
      <c r="C3235" s="9">
        <v>43609</v>
      </c>
      <c r="D3235">
        <v>1</v>
      </c>
      <c r="E3235">
        <v>2170690112</v>
      </c>
      <c r="F3235" t="s">
        <v>16</v>
      </c>
      <c r="G3235" t="s">
        <v>17</v>
      </c>
      <c r="H3235" t="s">
        <v>32</v>
      </c>
      <c r="I3235" t="s">
        <v>33</v>
      </c>
      <c r="J3235" t="s">
        <v>365</v>
      </c>
      <c r="K3235" s="9">
        <v>43612</v>
      </c>
      <c r="L3235" s="10">
        <v>0.38541666666666669</v>
      </c>
      <c r="M3235" t="s">
        <v>1349</v>
      </c>
      <c r="N3235" t="s">
        <v>4216</v>
      </c>
      <c r="O3235" t="s">
        <v>22</v>
      </c>
    </row>
    <row r="3236" spans="1:16" hidden="1">
      <c r="A3236" s="6" t="s">
        <v>15</v>
      </c>
      <c r="B3236" s="6" t="str">
        <f>"FES1162691804"</f>
        <v>FES1162691804</v>
      </c>
      <c r="C3236" s="7">
        <v>43609</v>
      </c>
      <c r="D3236" s="6">
        <v>1</v>
      </c>
      <c r="E3236" s="6">
        <v>2170690128</v>
      </c>
      <c r="F3236" s="6" t="s">
        <v>16</v>
      </c>
      <c r="G3236" s="6" t="s">
        <v>17</v>
      </c>
      <c r="H3236" s="6" t="s">
        <v>141</v>
      </c>
      <c r="I3236" s="6" t="s">
        <v>142</v>
      </c>
      <c r="J3236" s="6" t="s">
        <v>213</v>
      </c>
      <c r="K3236" s="7">
        <v>43612</v>
      </c>
      <c r="L3236" s="8">
        <v>0.36249999999999999</v>
      </c>
      <c r="M3236" s="6" t="s">
        <v>214</v>
      </c>
      <c r="N3236" s="14" t="s">
        <v>21</v>
      </c>
      <c r="O3236" s="6" t="s">
        <v>22</v>
      </c>
      <c r="P3236" s="30"/>
    </row>
    <row r="3237" spans="1:16" hidden="1">
      <c r="A3237" t="s">
        <v>15</v>
      </c>
      <c r="B3237" t="str">
        <f>"FES1162691757"</f>
        <v>FES1162691757</v>
      </c>
      <c r="C3237" s="9">
        <v>43609</v>
      </c>
      <c r="D3237">
        <v>1</v>
      </c>
      <c r="E3237">
        <v>2170690075</v>
      </c>
      <c r="F3237" t="s">
        <v>16</v>
      </c>
      <c r="G3237" t="s">
        <v>17</v>
      </c>
      <c r="H3237" t="s">
        <v>32</v>
      </c>
      <c r="I3237" t="s">
        <v>33</v>
      </c>
      <c r="J3237" t="s">
        <v>786</v>
      </c>
      <c r="K3237" s="9">
        <v>43612</v>
      </c>
      <c r="L3237" s="10">
        <v>0.375</v>
      </c>
      <c r="M3237" t="s">
        <v>1541</v>
      </c>
      <c r="N3237" t="s">
        <v>4217</v>
      </c>
      <c r="O3237" t="s">
        <v>22</v>
      </c>
    </row>
    <row r="3238" spans="1:16" hidden="1">
      <c r="A3238" s="20" t="s">
        <v>15</v>
      </c>
      <c r="B3238" s="20" t="str">
        <f>"FES1162691748"</f>
        <v>FES1162691748</v>
      </c>
      <c r="C3238" s="21">
        <v>43609</v>
      </c>
      <c r="D3238" s="20">
        <v>1</v>
      </c>
      <c r="E3238" s="20">
        <v>2170690060</v>
      </c>
      <c r="F3238" s="20" t="s">
        <v>16</v>
      </c>
      <c r="G3238" s="20" t="s">
        <v>17</v>
      </c>
      <c r="H3238" s="20" t="s">
        <v>300</v>
      </c>
      <c r="I3238" s="20" t="s">
        <v>301</v>
      </c>
      <c r="J3238" s="20" t="s">
        <v>4218</v>
      </c>
      <c r="K3238" s="21">
        <v>43612</v>
      </c>
      <c r="L3238" s="22">
        <v>0.35138888888888892</v>
      </c>
      <c r="M3238" s="20" t="s">
        <v>3156</v>
      </c>
      <c r="N3238" s="20" t="s">
        <v>21</v>
      </c>
      <c r="O3238" s="20" t="s">
        <v>22</v>
      </c>
      <c r="P3238" s="33"/>
    </row>
    <row r="3239" spans="1:16" hidden="1">
      <c r="A3239" s="3" t="s">
        <v>15</v>
      </c>
      <c r="B3239" s="3" t="str">
        <f>"FES1162691737"</f>
        <v>FES1162691737</v>
      </c>
      <c r="C3239" s="4">
        <v>43609</v>
      </c>
      <c r="D3239" s="3">
        <v>1</v>
      </c>
      <c r="E3239" s="3">
        <v>2170690027</v>
      </c>
      <c r="F3239" s="3" t="s">
        <v>16</v>
      </c>
      <c r="G3239" s="3" t="s">
        <v>17</v>
      </c>
      <c r="H3239" s="3" t="s">
        <v>141</v>
      </c>
      <c r="I3239" s="3" t="s">
        <v>142</v>
      </c>
      <c r="J3239" s="3" t="s">
        <v>4025</v>
      </c>
      <c r="K3239" s="4">
        <v>43612</v>
      </c>
      <c r="L3239" s="5">
        <v>0.38194444444444442</v>
      </c>
      <c r="M3239" s="3" t="s">
        <v>4026</v>
      </c>
      <c r="N3239" s="20" t="s">
        <v>21</v>
      </c>
      <c r="O3239" s="3" t="s">
        <v>22</v>
      </c>
      <c r="P3239" s="31"/>
    </row>
    <row r="3240" spans="1:16" hidden="1">
      <c r="A3240" t="s">
        <v>15</v>
      </c>
      <c r="B3240" t="str">
        <f>"FES1162691792"</f>
        <v>FES1162691792</v>
      </c>
      <c r="C3240" s="9">
        <v>43609</v>
      </c>
      <c r="D3240">
        <v>1</v>
      </c>
      <c r="E3240">
        <v>2170690117</v>
      </c>
      <c r="F3240" t="s">
        <v>16</v>
      </c>
      <c r="G3240" t="s">
        <v>17</v>
      </c>
      <c r="H3240" t="s">
        <v>525</v>
      </c>
      <c r="I3240" t="s">
        <v>3779</v>
      </c>
      <c r="J3240" t="s">
        <v>4219</v>
      </c>
      <c r="K3240" s="9">
        <v>43612</v>
      </c>
      <c r="L3240" s="10">
        <v>0.39861111111111108</v>
      </c>
      <c r="M3240" t="s">
        <v>4220</v>
      </c>
      <c r="N3240" t="s">
        <v>4221</v>
      </c>
      <c r="O3240" t="s">
        <v>22</v>
      </c>
    </row>
    <row r="3241" spans="1:16" hidden="1">
      <c r="A3241" t="s">
        <v>15</v>
      </c>
      <c r="B3241" t="str">
        <f>"FES1162691717"</f>
        <v>FES1162691717</v>
      </c>
      <c r="C3241" s="9">
        <v>43609</v>
      </c>
      <c r="D3241">
        <v>1</v>
      </c>
      <c r="E3241">
        <v>2170690034</v>
      </c>
      <c r="F3241" t="s">
        <v>16</v>
      </c>
      <c r="G3241" t="s">
        <v>17</v>
      </c>
      <c r="H3241" t="s">
        <v>32</v>
      </c>
      <c r="I3241" t="s">
        <v>33</v>
      </c>
      <c r="J3241" t="s">
        <v>2432</v>
      </c>
      <c r="K3241" s="9">
        <v>43612</v>
      </c>
      <c r="L3241" s="10">
        <v>0.38194444444444442</v>
      </c>
      <c r="M3241" t="s">
        <v>2433</v>
      </c>
      <c r="N3241" t="s">
        <v>4222</v>
      </c>
      <c r="O3241" t="s">
        <v>22</v>
      </c>
    </row>
    <row r="3242" spans="1:16" hidden="1">
      <c r="A3242" t="s">
        <v>15</v>
      </c>
      <c r="B3242" t="str">
        <f>"FES1162691746"</f>
        <v>FES1162691746</v>
      </c>
      <c r="C3242" s="9">
        <v>43609</v>
      </c>
      <c r="D3242">
        <v>2</v>
      </c>
      <c r="E3242">
        <v>2170690058</v>
      </c>
      <c r="F3242" t="s">
        <v>16</v>
      </c>
      <c r="G3242" t="s">
        <v>17</v>
      </c>
      <c r="H3242" t="s">
        <v>43</v>
      </c>
      <c r="I3242" t="s">
        <v>44</v>
      </c>
      <c r="J3242" t="s">
        <v>48</v>
      </c>
      <c r="K3242" s="9">
        <v>43612</v>
      </c>
      <c r="L3242" s="10">
        <v>0.31805555555555554</v>
      </c>
      <c r="M3242" t="s">
        <v>1650</v>
      </c>
      <c r="N3242" t="s">
        <v>4223</v>
      </c>
      <c r="O3242" t="s">
        <v>22</v>
      </c>
    </row>
    <row r="3243" spans="1:16" hidden="1">
      <c r="A3243" t="s">
        <v>15</v>
      </c>
      <c r="B3243" t="str">
        <f>"FES1162691705"</f>
        <v>FES1162691705</v>
      </c>
      <c r="C3243" s="9">
        <v>43609</v>
      </c>
      <c r="D3243">
        <v>1</v>
      </c>
      <c r="E3243">
        <v>2170690025</v>
      </c>
      <c r="F3243" t="s">
        <v>16</v>
      </c>
      <c r="G3243" t="s">
        <v>17</v>
      </c>
      <c r="H3243" t="s">
        <v>32</v>
      </c>
      <c r="I3243" t="s">
        <v>33</v>
      </c>
      <c r="J3243" t="s">
        <v>843</v>
      </c>
      <c r="K3243" s="9">
        <v>43612</v>
      </c>
      <c r="L3243" s="10">
        <v>0.36458333333333331</v>
      </c>
      <c r="M3243" t="s">
        <v>844</v>
      </c>
      <c r="N3243" t="s">
        <v>4224</v>
      </c>
      <c r="O3243" t="s">
        <v>22</v>
      </c>
    </row>
    <row r="3244" spans="1:16" hidden="1">
      <c r="A3244" s="6" t="s">
        <v>15</v>
      </c>
      <c r="B3244" s="6" t="str">
        <f>"FES1162691795"</f>
        <v>FES1162691795</v>
      </c>
      <c r="C3244" s="7">
        <v>43609</v>
      </c>
      <c r="D3244" s="6">
        <v>1</v>
      </c>
      <c r="E3244" s="6">
        <v>2170689522</v>
      </c>
      <c r="F3244" s="6" t="s">
        <v>16</v>
      </c>
      <c r="G3244" s="6" t="s">
        <v>17</v>
      </c>
      <c r="H3244" s="6" t="s">
        <v>32</v>
      </c>
      <c r="I3244" s="6" t="s">
        <v>33</v>
      </c>
      <c r="J3244" s="6" t="s">
        <v>34</v>
      </c>
      <c r="K3244" s="7">
        <v>43612</v>
      </c>
      <c r="L3244" s="8">
        <v>0.34375</v>
      </c>
      <c r="M3244" s="6" t="s">
        <v>35</v>
      </c>
      <c r="N3244" s="14" t="s">
        <v>21</v>
      </c>
      <c r="O3244" s="6" t="s">
        <v>22</v>
      </c>
      <c r="P3244" s="30"/>
    </row>
    <row r="3245" spans="1:16" hidden="1">
      <c r="A3245" t="s">
        <v>15</v>
      </c>
      <c r="B3245" t="str">
        <f>"FES1162691796"</f>
        <v>FES1162691796</v>
      </c>
      <c r="C3245" s="9">
        <v>43609</v>
      </c>
      <c r="D3245">
        <v>1</v>
      </c>
      <c r="E3245">
        <v>2170689523</v>
      </c>
      <c r="F3245" t="s">
        <v>16</v>
      </c>
      <c r="G3245" t="s">
        <v>17</v>
      </c>
      <c r="H3245" t="s">
        <v>32</v>
      </c>
      <c r="I3245" t="s">
        <v>33</v>
      </c>
      <c r="J3245" t="s">
        <v>34</v>
      </c>
      <c r="K3245" s="9">
        <v>43612</v>
      </c>
      <c r="L3245" s="10">
        <v>0.34375</v>
      </c>
      <c r="M3245" t="s">
        <v>35</v>
      </c>
      <c r="N3245" t="s">
        <v>4225</v>
      </c>
      <c r="O3245" t="s">
        <v>22</v>
      </c>
    </row>
    <row r="3246" spans="1:16" hidden="1">
      <c r="A3246" s="3" t="s">
        <v>15</v>
      </c>
      <c r="B3246" s="3" t="str">
        <f>"FES1162691678"</f>
        <v>FES1162691678</v>
      </c>
      <c r="C3246" s="4">
        <v>43609</v>
      </c>
      <c r="D3246" s="3">
        <v>1</v>
      </c>
      <c r="E3246" s="3">
        <v>2170689860</v>
      </c>
      <c r="F3246" s="3" t="s">
        <v>16</v>
      </c>
      <c r="G3246" s="3" t="s">
        <v>17</v>
      </c>
      <c r="H3246" s="3" t="s">
        <v>132</v>
      </c>
      <c r="I3246" s="3" t="s">
        <v>133</v>
      </c>
      <c r="J3246" s="3" t="s">
        <v>189</v>
      </c>
      <c r="K3246" s="4">
        <v>43612</v>
      </c>
      <c r="L3246" s="5">
        <v>0.40625</v>
      </c>
      <c r="M3246" s="3" t="s">
        <v>585</v>
      </c>
      <c r="N3246" s="20" t="s">
        <v>21</v>
      </c>
      <c r="O3246" s="3" t="s">
        <v>22</v>
      </c>
      <c r="P3246" s="31"/>
    </row>
    <row r="3247" spans="1:16" hidden="1">
      <c r="A3247" s="14" t="s">
        <v>15</v>
      </c>
      <c r="B3247" s="14" t="str">
        <f>"FES1162691730"</f>
        <v>FES1162691730</v>
      </c>
      <c r="C3247" s="15">
        <v>43609</v>
      </c>
      <c r="D3247" s="14">
        <v>1</v>
      </c>
      <c r="E3247" s="14">
        <v>2170688461</v>
      </c>
      <c r="F3247" s="14" t="s">
        <v>16</v>
      </c>
      <c r="G3247" s="14" t="s">
        <v>17</v>
      </c>
      <c r="H3247" s="14" t="s">
        <v>132</v>
      </c>
      <c r="I3247" s="14" t="s">
        <v>133</v>
      </c>
      <c r="J3247" s="14" t="s">
        <v>189</v>
      </c>
      <c r="K3247" s="15">
        <v>43612</v>
      </c>
      <c r="L3247" s="16">
        <v>0.40625</v>
      </c>
      <c r="M3247" s="14" t="s">
        <v>585</v>
      </c>
      <c r="N3247" s="14" t="s">
        <v>21</v>
      </c>
      <c r="O3247" s="14" t="s">
        <v>22</v>
      </c>
      <c r="P3247" s="32"/>
    </row>
    <row r="3248" spans="1:16" hidden="1">
      <c r="A3248" s="3" t="s">
        <v>15</v>
      </c>
      <c r="B3248" s="3" t="str">
        <f>"FES1162691763"</f>
        <v>FES1162691763</v>
      </c>
      <c r="C3248" s="4">
        <v>43609</v>
      </c>
      <c r="D3248" s="3">
        <v>1</v>
      </c>
      <c r="E3248" s="3">
        <v>2170689470</v>
      </c>
      <c r="F3248" s="3" t="s">
        <v>16</v>
      </c>
      <c r="G3248" s="3" t="s">
        <v>17</v>
      </c>
      <c r="H3248" s="3" t="s">
        <v>43</v>
      </c>
      <c r="I3248" s="3" t="s">
        <v>738</v>
      </c>
      <c r="J3248" s="3" t="s">
        <v>739</v>
      </c>
      <c r="K3248" s="4">
        <v>43612</v>
      </c>
      <c r="L3248" s="5">
        <v>0.3972222222222222</v>
      </c>
      <c r="M3248" s="3" t="s">
        <v>740</v>
      </c>
      <c r="N3248" s="20" t="s">
        <v>21</v>
      </c>
      <c r="O3248" s="3" t="s">
        <v>22</v>
      </c>
      <c r="P3248" s="31"/>
    </row>
    <row r="3249" spans="1:16" hidden="1">
      <c r="A3249" t="s">
        <v>15</v>
      </c>
      <c r="B3249" t="str">
        <f>"FES1162691791"</f>
        <v>FES1162691791</v>
      </c>
      <c r="C3249" s="9">
        <v>43609</v>
      </c>
      <c r="D3249">
        <v>1</v>
      </c>
      <c r="E3249">
        <v>2170690116</v>
      </c>
      <c r="F3249" t="s">
        <v>16</v>
      </c>
      <c r="G3249" t="s">
        <v>17</v>
      </c>
      <c r="H3249" t="s">
        <v>43</v>
      </c>
      <c r="I3249" t="s">
        <v>44</v>
      </c>
      <c r="J3249" t="s">
        <v>48</v>
      </c>
      <c r="K3249" s="9">
        <v>43612</v>
      </c>
      <c r="L3249" s="10">
        <v>0.31805555555555554</v>
      </c>
      <c r="M3249" t="s">
        <v>1650</v>
      </c>
      <c r="N3249" t="s">
        <v>4226</v>
      </c>
      <c r="O3249" t="s">
        <v>22</v>
      </c>
    </row>
    <row r="3250" spans="1:16" hidden="1">
      <c r="A3250" t="s">
        <v>15</v>
      </c>
      <c r="B3250" t="str">
        <f>"FES1162691813"</f>
        <v>FES1162691813</v>
      </c>
      <c r="C3250" s="9">
        <v>43609</v>
      </c>
      <c r="D3250">
        <v>1</v>
      </c>
      <c r="E3250">
        <v>2170690149</v>
      </c>
      <c r="F3250" t="s">
        <v>16</v>
      </c>
      <c r="G3250" t="s">
        <v>17</v>
      </c>
      <c r="H3250" t="s">
        <v>290</v>
      </c>
      <c r="I3250" t="s">
        <v>291</v>
      </c>
      <c r="J3250" t="s">
        <v>609</v>
      </c>
      <c r="K3250" s="9">
        <v>43612</v>
      </c>
      <c r="L3250" s="10">
        <v>0.3923611111111111</v>
      </c>
      <c r="M3250" t="s">
        <v>4227</v>
      </c>
      <c r="N3250" t="s">
        <v>4228</v>
      </c>
      <c r="O3250" t="s">
        <v>22</v>
      </c>
    </row>
    <row r="3251" spans="1:16" hidden="1">
      <c r="A3251" t="s">
        <v>15</v>
      </c>
      <c r="B3251" t="str">
        <f>"FES1162691834"</f>
        <v>FES1162691834</v>
      </c>
      <c r="C3251" s="9">
        <v>43609</v>
      </c>
      <c r="D3251">
        <v>1</v>
      </c>
      <c r="E3251">
        <v>2170690177</v>
      </c>
      <c r="F3251" t="s">
        <v>16</v>
      </c>
      <c r="G3251" t="s">
        <v>17</v>
      </c>
      <c r="H3251" t="s">
        <v>300</v>
      </c>
      <c r="I3251" t="s">
        <v>1553</v>
      </c>
      <c r="J3251" t="s">
        <v>4229</v>
      </c>
      <c r="K3251" s="9">
        <v>43612</v>
      </c>
      <c r="L3251" s="10">
        <v>0.43541666666666662</v>
      </c>
      <c r="M3251" t="s">
        <v>332</v>
      </c>
      <c r="N3251" t="s">
        <v>4230</v>
      </c>
      <c r="O3251" t="s">
        <v>22</v>
      </c>
    </row>
    <row r="3252" spans="1:16" hidden="1">
      <c r="A3252" s="6" t="s">
        <v>15</v>
      </c>
      <c r="B3252" s="6" t="str">
        <f>"FES1162691782"</f>
        <v>FES1162691782</v>
      </c>
      <c r="C3252" s="7">
        <v>43609</v>
      </c>
      <c r="D3252" s="6">
        <v>1</v>
      </c>
      <c r="E3252" s="6">
        <v>2170690108</v>
      </c>
      <c r="F3252" s="6" t="s">
        <v>16</v>
      </c>
      <c r="G3252" s="6" t="s">
        <v>17</v>
      </c>
      <c r="H3252" s="6" t="s">
        <v>300</v>
      </c>
      <c r="I3252" s="6" t="s">
        <v>301</v>
      </c>
      <c r="J3252" s="6" t="s">
        <v>3781</v>
      </c>
      <c r="K3252" s="7">
        <v>43612</v>
      </c>
      <c r="L3252" s="8">
        <v>0.4236111111111111</v>
      </c>
      <c r="M3252" s="6" t="s">
        <v>1609</v>
      </c>
      <c r="N3252" s="14" t="s">
        <v>21</v>
      </c>
      <c r="O3252" s="6" t="s">
        <v>22</v>
      </c>
      <c r="P3252" s="30"/>
    </row>
    <row r="3253" spans="1:16" hidden="1">
      <c r="A3253" t="s">
        <v>15</v>
      </c>
      <c r="B3253" t="str">
        <f>"FES1162691781"</f>
        <v>FES1162691781</v>
      </c>
      <c r="C3253" s="9">
        <v>43609</v>
      </c>
      <c r="D3253">
        <v>1</v>
      </c>
      <c r="E3253">
        <v>2170690107</v>
      </c>
      <c r="F3253" t="s">
        <v>16</v>
      </c>
      <c r="G3253" t="s">
        <v>17</v>
      </c>
      <c r="H3253" t="s">
        <v>300</v>
      </c>
      <c r="I3253" t="s">
        <v>301</v>
      </c>
      <c r="J3253" t="s">
        <v>3781</v>
      </c>
      <c r="K3253" s="9">
        <v>43612</v>
      </c>
      <c r="L3253" s="10">
        <v>0.4236111111111111</v>
      </c>
      <c r="M3253" t="s">
        <v>1609</v>
      </c>
      <c r="N3253" t="s">
        <v>4231</v>
      </c>
      <c r="O3253" t="s">
        <v>22</v>
      </c>
    </row>
    <row r="3254" spans="1:16" hidden="1">
      <c r="A3254" t="s">
        <v>15</v>
      </c>
      <c r="B3254" t="str">
        <f>"FES1162691842"</f>
        <v>FES1162691842</v>
      </c>
      <c r="C3254" s="9">
        <v>43609</v>
      </c>
      <c r="D3254">
        <v>1</v>
      </c>
      <c r="E3254">
        <v>2170690187</v>
      </c>
      <c r="F3254" t="s">
        <v>16</v>
      </c>
      <c r="G3254" t="s">
        <v>17</v>
      </c>
      <c r="H3254" t="s">
        <v>290</v>
      </c>
      <c r="I3254" t="s">
        <v>291</v>
      </c>
      <c r="J3254" t="s">
        <v>1744</v>
      </c>
      <c r="K3254" s="9">
        <v>43612</v>
      </c>
      <c r="L3254" s="10">
        <v>0.36180555555555555</v>
      </c>
      <c r="M3254" t="s">
        <v>1745</v>
      </c>
      <c r="N3254" t="s">
        <v>4232</v>
      </c>
      <c r="O3254" t="s">
        <v>22</v>
      </c>
    </row>
    <row r="3255" spans="1:16" hidden="1">
      <c r="A3255" t="s">
        <v>15</v>
      </c>
      <c r="B3255" t="str">
        <f>"FES1162691812"</f>
        <v>FES1162691812</v>
      </c>
      <c r="C3255" s="9">
        <v>43609</v>
      </c>
      <c r="D3255">
        <v>1</v>
      </c>
      <c r="E3255">
        <v>2170690148</v>
      </c>
      <c r="F3255" t="s">
        <v>16</v>
      </c>
      <c r="G3255" t="s">
        <v>17</v>
      </c>
      <c r="H3255" t="s">
        <v>290</v>
      </c>
      <c r="I3255" t="s">
        <v>309</v>
      </c>
      <c r="J3255" t="s">
        <v>310</v>
      </c>
      <c r="K3255" s="9">
        <v>43612</v>
      </c>
      <c r="L3255" s="10">
        <v>0.43055555555555558</v>
      </c>
      <c r="M3255" t="s">
        <v>4233</v>
      </c>
      <c r="N3255" t="s">
        <v>4234</v>
      </c>
      <c r="O3255" t="s">
        <v>22</v>
      </c>
    </row>
    <row r="3256" spans="1:16" hidden="1">
      <c r="A3256" t="s">
        <v>15</v>
      </c>
      <c r="B3256" t="str">
        <f>"FES1162691836"</f>
        <v>FES1162691836</v>
      </c>
      <c r="C3256" s="9">
        <v>43609</v>
      </c>
      <c r="D3256">
        <v>1</v>
      </c>
      <c r="E3256">
        <v>2170690180</v>
      </c>
      <c r="F3256" t="s">
        <v>16</v>
      </c>
      <c r="G3256" t="s">
        <v>17</v>
      </c>
      <c r="H3256" t="s">
        <v>141</v>
      </c>
      <c r="I3256" t="s">
        <v>433</v>
      </c>
      <c r="J3256" t="s">
        <v>1684</v>
      </c>
      <c r="K3256" s="9">
        <v>43612</v>
      </c>
      <c r="L3256" s="10">
        <v>0.37152777777777773</v>
      </c>
      <c r="M3256" t="s">
        <v>4235</v>
      </c>
      <c r="N3256" t="s">
        <v>4236</v>
      </c>
      <c r="O3256" t="s">
        <v>22</v>
      </c>
    </row>
    <row r="3257" spans="1:16" hidden="1">
      <c r="A3257" t="s">
        <v>15</v>
      </c>
      <c r="B3257" t="str">
        <f>"FES1162691832"</f>
        <v>FES1162691832</v>
      </c>
      <c r="C3257" s="9">
        <v>43609</v>
      </c>
      <c r="D3257">
        <v>1</v>
      </c>
      <c r="E3257">
        <v>2170690179</v>
      </c>
      <c r="F3257" t="s">
        <v>16</v>
      </c>
      <c r="G3257" t="s">
        <v>17</v>
      </c>
      <c r="H3257" t="s">
        <v>132</v>
      </c>
      <c r="I3257" t="s">
        <v>133</v>
      </c>
      <c r="J3257" t="s">
        <v>189</v>
      </c>
      <c r="K3257" s="9">
        <v>43612</v>
      </c>
      <c r="L3257" s="10">
        <v>0.40625</v>
      </c>
      <c r="M3257" t="s">
        <v>585</v>
      </c>
      <c r="N3257" t="s">
        <v>4237</v>
      </c>
      <c r="O3257" t="s">
        <v>22</v>
      </c>
    </row>
    <row r="3258" spans="1:16" hidden="1">
      <c r="A3258" t="s">
        <v>15</v>
      </c>
      <c r="B3258" t="str">
        <f>"FES1162691837"</f>
        <v>FES1162691837</v>
      </c>
      <c r="C3258" s="9">
        <v>43609</v>
      </c>
      <c r="D3258">
        <v>1</v>
      </c>
      <c r="E3258">
        <v>217090181</v>
      </c>
      <c r="F3258" t="s">
        <v>16</v>
      </c>
      <c r="G3258" t="s">
        <v>17</v>
      </c>
      <c r="H3258" t="s">
        <v>37</v>
      </c>
      <c r="I3258" t="s">
        <v>38</v>
      </c>
      <c r="J3258" t="s">
        <v>3639</v>
      </c>
      <c r="K3258" s="9">
        <v>43612</v>
      </c>
      <c r="L3258" s="10">
        <v>0.36805555555555558</v>
      </c>
      <c r="M3258" t="s">
        <v>88</v>
      </c>
      <c r="N3258" t="s">
        <v>4238</v>
      </c>
      <c r="O3258" t="s">
        <v>22</v>
      </c>
    </row>
    <row r="3259" spans="1:16" hidden="1">
      <c r="A3259" t="s">
        <v>15</v>
      </c>
      <c r="B3259" t="str">
        <f>"FES1162691820"</f>
        <v>FES1162691820</v>
      </c>
      <c r="C3259" s="9">
        <v>43609</v>
      </c>
      <c r="D3259">
        <v>1</v>
      </c>
      <c r="E3259">
        <v>217090160</v>
      </c>
      <c r="F3259" t="s">
        <v>16</v>
      </c>
      <c r="G3259" t="s">
        <v>17</v>
      </c>
      <c r="H3259" t="s">
        <v>43</v>
      </c>
      <c r="I3259" t="s">
        <v>44</v>
      </c>
      <c r="J3259" t="s">
        <v>1284</v>
      </c>
      <c r="K3259" s="9">
        <v>43612</v>
      </c>
      <c r="L3259" s="10">
        <v>0.35069444444444442</v>
      </c>
      <c r="M3259" t="s">
        <v>3689</v>
      </c>
      <c r="N3259" t="s">
        <v>4239</v>
      </c>
      <c r="O3259" t="s">
        <v>22</v>
      </c>
    </row>
    <row r="3260" spans="1:16" hidden="1">
      <c r="A3260" s="34" t="s">
        <v>15</v>
      </c>
      <c r="B3260" s="34" t="str">
        <f>"FES1162691845"</f>
        <v>FES1162691845</v>
      </c>
      <c r="C3260" s="35">
        <v>43609</v>
      </c>
      <c r="D3260" s="34">
        <v>1</v>
      </c>
      <c r="E3260" s="34">
        <v>217090190</v>
      </c>
      <c r="F3260" s="34" t="s">
        <v>16</v>
      </c>
      <c r="G3260" s="34" t="s">
        <v>17</v>
      </c>
      <c r="H3260" s="34" t="s">
        <v>290</v>
      </c>
      <c r="I3260" s="34" t="s">
        <v>291</v>
      </c>
      <c r="J3260" s="34" t="s">
        <v>4240</v>
      </c>
      <c r="K3260" s="34" t="s">
        <v>1730</v>
      </c>
      <c r="L3260" s="34"/>
      <c r="M3260" s="34" t="s">
        <v>1731</v>
      </c>
      <c r="N3260" s="34" t="s">
        <v>4241</v>
      </c>
      <c r="O3260" s="34" t="s">
        <v>4241</v>
      </c>
      <c r="P3260" s="30"/>
    </row>
    <row r="3261" spans="1:16" hidden="1">
      <c r="A3261" t="s">
        <v>15</v>
      </c>
      <c r="B3261" t="str">
        <f>"FES1162691841"</f>
        <v>FES1162691841</v>
      </c>
      <c r="C3261" s="9">
        <v>43609</v>
      </c>
      <c r="D3261">
        <v>1</v>
      </c>
      <c r="E3261">
        <v>2170690186</v>
      </c>
      <c r="F3261" t="s">
        <v>16</v>
      </c>
      <c r="G3261" t="s">
        <v>17</v>
      </c>
      <c r="H3261" t="s">
        <v>290</v>
      </c>
      <c r="I3261" t="s">
        <v>309</v>
      </c>
      <c r="J3261" t="s">
        <v>4242</v>
      </c>
      <c r="K3261" s="9">
        <v>43612</v>
      </c>
      <c r="L3261" s="10">
        <v>0.3576388888888889</v>
      </c>
      <c r="M3261" t="s">
        <v>4243</v>
      </c>
      <c r="N3261" t="s">
        <v>4244</v>
      </c>
      <c r="O3261" t="s">
        <v>22</v>
      </c>
    </row>
    <row r="3262" spans="1:16" hidden="1">
      <c r="A3262" t="s">
        <v>15</v>
      </c>
      <c r="B3262" t="str">
        <f>"FES1162691780"</f>
        <v>FES1162691780</v>
      </c>
      <c r="C3262" s="9">
        <v>43609</v>
      </c>
      <c r="D3262">
        <v>1</v>
      </c>
      <c r="E3262">
        <v>2170690105</v>
      </c>
      <c r="F3262" t="s">
        <v>16</v>
      </c>
      <c r="G3262" t="s">
        <v>17</v>
      </c>
      <c r="H3262" t="s">
        <v>300</v>
      </c>
      <c r="I3262" t="s">
        <v>301</v>
      </c>
      <c r="J3262" t="s">
        <v>3781</v>
      </c>
      <c r="K3262" s="9">
        <v>43612</v>
      </c>
      <c r="L3262" s="10">
        <v>0.4236111111111111</v>
      </c>
      <c r="M3262" t="s">
        <v>4245</v>
      </c>
      <c r="N3262" t="s">
        <v>4246</v>
      </c>
      <c r="O3262" t="s">
        <v>22</v>
      </c>
    </row>
    <row r="3263" spans="1:16" hidden="1">
      <c r="A3263" t="s">
        <v>15</v>
      </c>
      <c r="B3263" t="str">
        <f>"FES1162691731"</f>
        <v>FES1162691731</v>
      </c>
      <c r="C3263" s="9">
        <v>43609</v>
      </c>
      <c r="D3263">
        <v>1</v>
      </c>
      <c r="E3263">
        <v>2170689031</v>
      </c>
      <c r="F3263" t="s">
        <v>16</v>
      </c>
      <c r="G3263" t="s">
        <v>17</v>
      </c>
      <c r="H3263" t="s">
        <v>290</v>
      </c>
      <c r="I3263" t="s">
        <v>316</v>
      </c>
      <c r="J3263" t="s">
        <v>284</v>
      </c>
      <c r="K3263" s="9">
        <v>43612</v>
      </c>
      <c r="L3263" s="10">
        <v>0.44513888888888892</v>
      </c>
      <c r="M3263" t="s">
        <v>320</v>
      </c>
      <c r="N3263" t="s">
        <v>4247</v>
      </c>
      <c r="O3263" t="s">
        <v>22</v>
      </c>
    </row>
    <row r="3264" spans="1:16" hidden="1">
      <c r="A3264" t="s">
        <v>15</v>
      </c>
      <c r="B3264" t="str">
        <f>"FES1162691822"</f>
        <v>FES1162691822</v>
      </c>
      <c r="C3264" s="9">
        <v>43609</v>
      </c>
      <c r="D3264">
        <v>1</v>
      </c>
      <c r="E3264">
        <v>2170690162</v>
      </c>
      <c r="F3264" t="s">
        <v>16</v>
      </c>
      <c r="G3264" t="s">
        <v>17</v>
      </c>
      <c r="H3264" t="s">
        <v>43</v>
      </c>
      <c r="I3264" t="s">
        <v>44</v>
      </c>
      <c r="J3264" t="s">
        <v>742</v>
      </c>
      <c r="K3264" s="9">
        <v>43612</v>
      </c>
      <c r="L3264" s="10">
        <v>0.38611111111111113</v>
      </c>
      <c r="M3264" t="s">
        <v>1231</v>
      </c>
      <c r="N3264" t="s">
        <v>4248</v>
      </c>
      <c r="O3264" t="s">
        <v>22</v>
      </c>
    </row>
    <row r="3265" spans="1:16" hidden="1">
      <c r="A3265" t="s">
        <v>15</v>
      </c>
      <c r="B3265" t="str">
        <f>"FES1162691716"</f>
        <v>FES1162691716</v>
      </c>
      <c r="C3265" s="9">
        <v>43609</v>
      </c>
      <c r="D3265">
        <v>1</v>
      </c>
      <c r="E3265">
        <v>2170690033</v>
      </c>
      <c r="F3265" t="s">
        <v>16</v>
      </c>
      <c r="G3265" t="s">
        <v>17</v>
      </c>
      <c r="H3265" t="s">
        <v>290</v>
      </c>
      <c r="I3265" t="s">
        <v>291</v>
      </c>
      <c r="J3265" t="s">
        <v>1835</v>
      </c>
      <c r="K3265" s="9">
        <v>43612</v>
      </c>
      <c r="L3265" s="10">
        <v>0.42430555555555555</v>
      </c>
      <c r="M3265" t="s">
        <v>4249</v>
      </c>
      <c r="N3265" t="s">
        <v>4250</v>
      </c>
      <c r="O3265" t="s">
        <v>22</v>
      </c>
    </row>
    <row r="3266" spans="1:16" hidden="1">
      <c r="A3266" t="s">
        <v>15</v>
      </c>
      <c r="B3266" t="str">
        <f>"FES1162691756"</f>
        <v>FES1162691756</v>
      </c>
      <c r="C3266" s="9">
        <v>43609</v>
      </c>
      <c r="D3266">
        <v>1</v>
      </c>
      <c r="E3266">
        <v>2170690073</v>
      </c>
      <c r="F3266" t="s">
        <v>16</v>
      </c>
      <c r="G3266" t="s">
        <v>17</v>
      </c>
      <c r="H3266" t="s">
        <v>290</v>
      </c>
      <c r="I3266" t="s">
        <v>291</v>
      </c>
      <c r="J3266" t="s">
        <v>1187</v>
      </c>
      <c r="K3266" s="9">
        <v>43612</v>
      </c>
      <c r="L3266" s="10">
        <v>0.4236111111111111</v>
      </c>
      <c r="M3266" t="s">
        <v>4251</v>
      </c>
      <c r="N3266" t="s">
        <v>4252</v>
      </c>
      <c r="O3266" t="s">
        <v>22</v>
      </c>
    </row>
    <row r="3267" spans="1:16" hidden="1">
      <c r="A3267" t="s">
        <v>15</v>
      </c>
      <c r="B3267" t="str">
        <f>"FES1162691703"</f>
        <v>FES1162691703</v>
      </c>
      <c r="C3267" s="9">
        <v>43609</v>
      </c>
      <c r="D3267">
        <v>1</v>
      </c>
      <c r="E3267">
        <v>2170690018</v>
      </c>
      <c r="F3267" t="s">
        <v>58</v>
      </c>
      <c r="G3267" t="s">
        <v>59</v>
      </c>
      <c r="H3267" t="s">
        <v>132</v>
      </c>
      <c r="I3267" t="s">
        <v>133</v>
      </c>
      <c r="J3267" t="s">
        <v>1605</v>
      </c>
      <c r="K3267" s="9">
        <v>43612</v>
      </c>
      <c r="L3267" s="10">
        <v>0.43055555555555558</v>
      </c>
      <c r="M3267" t="s">
        <v>4253</v>
      </c>
      <c r="N3267" t="s">
        <v>4254</v>
      </c>
      <c r="O3267" t="s">
        <v>494</v>
      </c>
    </row>
    <row r="3268" spans="1:16" hidden="1">
      <c r="A3268" s="6" t="s">
        <v>15</v>
      </c>
      <c r="B3268" s="6" t="str">
        <f>"FES1162691768"</f>
        <v>FES1162691768</v>
      </c>
      <c r="C3268" s="7">
        <v>43609</v>
      </c>
      <c r="D3268" s="6">
        <v>1</v>
      </c>
      <c r="E3268" s="6">
        <v>2170690093</v>
      </c>
      <c r="F3268" s="6" t="s">
        <v>16</v>
      </c>
      <c r="G3268" s="6" t="s">
        <v>17</v>
      </c>
      <c r="H3268" s="6" t="s">
        <v>300</v>
      </c>
      <c r="I3268" s="6" t="s">
        <v>301</v>
      </c>
      <c r="J3268" s="6" t="s">
        <v>3781</v>
      </c>
      <c r="K3268" s="7">
        <v>43612</v>
      </c>
      <c r="L3268" s="8">
        <v>0.4236111111111111</v>
      </c>
      <c r="M3268" s="6" t="s">
        <v>1609</v>
      </c>
      <c r="N3268" s="14" t="s">
        <v>21</v>
      </c>
      <c r="O3268" s="6" t="s">
        <v>22</v>
      </c>
      <c r="P3268" s="30"/>
    </row>
    <row r="3269" spans="1:16" hidden="1">
      <c r="A3269" t="s">
        <v>15</v>
      </c>
      <c r="B3269" t="str">
        <f>"FES1162691819"</f>
        <v>FES1162691819</v>
      </c>
      <c r="C3269" s="9">
        <v>43609</v>
      </c>
      <c r="D3269">
        <v>1</v>
      </c>
      <c r="E3269">
        <v>2170690151</v>
      </c>
      <c r="F3269" t="s">
        <v>16</v>
      </c>
      <c r="G3269" t="s">
        <v>17</v>
      </c>
      <c r="H3269" t="s">
        <v>141</v>
      </c>
      <c r="I3269" t="s">
        <v>142</v>
      </c>
      <c r="J3269" t="s">
        <v>228</v>
      </c>
      <c r="K3269" s="9">
        <v>43612</v>
      </c>
      <c r="L3269" s="10">
        <v>0.53749999999999998</v>
      </c>
      <c r="M3269" t="s">
        <v>4255</v>
      </c>
      <c r="N3269" t="s">
        <v>4256</v>
      </c>
      <c r="O3269" t="s">
        <v>22</v>
      </c>
    </row>
    <row r="3270" spans="1:16" hidden="1">
      <c r="A3270" s="20" t="s">
        <v>15</v>
      </c>
      <c r="B3270" s="20" t="str">
        <f>"FES1162691853"</f>
        <v>FES1162691853</v>
      </c>
      <c r="C3270" s="21">
        <v>43609</v>
      </c>
      <c r="D3270" s="20">
        <v>1</v>
      </c>
      <c r="E3270" s="20">
        <v>2170690201</v>
      </c>
      <c r="F3270" s="20" t="s">
        <v>16</v>
      </c>
      <c r="G3270" s="20" t="s">
        <v>17</v>
      </c>
      <c r="H3270" s="20" t="s">
        <v>141</v>
      </c>
      <c r="I3270" s="20" t="s">
        <v>185</v>
      </c>
      <c r="J3270" s="20" t="s">
        <v>210</v>
      </c>
      <c r="K3270" s="21">
        <v>43612</v>
      </c>
      <c r="L3270" s="22">
        <v>0.37083333333333335</v>
      </c>
      <c r="M3270" s="20" t="s">
        <v>211</v>
      </c>
      <c r="N3270" s="20" t="s">
        <v>21</v>
      </c>
      <c r="O3270" s="20" t="s">
        <v>22</v>
      </c>
      <c r="P3270" s="33"/>
    </row>
    <row r="3271" spans="1:16" hidden="1">
      <c r="A3271" t="s">
        <v>15</v>
      </c>
      <c r="B3271" t="str">
        <f>"FES1162691830"</f>
        <v>FES1162691830</v>
      </c>
      <c r="C3271" s="9">
        <v>43609</v>
      </c>
      <c r="D3271">
        <v>1</v>
      </c>
      <c r="E3271">
        <v>2170690171</v>
      </c>
      <c r="F3271" t="s">
        <v>16</v>
      </c>
      <c r="G3271" t="s">
        <v>17</v>
      </c>
      <c r="H3271" t="s">
        <v>32</v>
      </c>
      <c r="I3271" t="s">
        <v>33</v>
      </c>
      <c r="J3271" t="s">
        <v>2432</v>
      </c>
      <c r="K3271" s="9">
        <v>43612</v>
      </c>
      <c r="L3271" s="10">
        <v>0.38194444444444442</v>
      </c>
      <c r="M3271" t="s">
        <v>2433</v>
      </c>
      <c r="N3271" t="s">
        <v>4257</v>
      </c>
      <c r="O3271" t="s">
        <v>22</v>
      </c>
    </row>
    <row r="3272" spans="1:16" hidden="1">
      <c r="A3272" t="s">
        <v>15</v>
      </c>
      <c r="B3272" t="str">
        <f>"FES1162691829"</f>
        <v>FES1162691829</v>
      </c>
      <c r="C3272" s="9">
        <v>43609</v>
      </c>
      <c r="D3272">
        <v>1</v>
      </c>
      <c r="E3272">
        <v>2170687517</v>
      </c>
      <c r="F3272" t="s">
        <v>16</v>
      </c>
      <c r="G3272" t="s">
        <v>17</v>
      </c>
      <c r="H3272" t="s">
        <v>32</v>
      </c>
      <c r="I3272" t="s">
        <v>33</v>
      </c>
      <c r="J3272" t="s">
        <v>832</v>
      </c>
      <c r="K3272" s="9">
        <v>43612</v>
      </c>
      <c r="L3272" s="10">
        <v>0.375</v>
      </c>
      <c r="M3272" t="s">
        <v>1541</v>
      </c>
      <c r="N3272" t="s">
        <v>4258</v>
      </c>
      <c r="O3272" t="s">
        <v>22</v>
      </c>
    </row>
    <row r="3273" spans="1:16" hidden="1">
      <c r="A3273" t="s">
        <v>15</v>
      </c>
      <c r="B3273" t="str">
        <f>"FES1162691840"</f>
        <v>FES1162691840</v>
      </c>
      <c r="C3273" s="9">
        <v>43609</v>
      </c>
      <c r="D3273">
        <v>1</v>
      </c>
      <c r="E3273">
        <v>2170690185</v>
      </c>
      <c r="F3273" t="s">
        <v>16</v>
      </c>
      <c r="G3273" t="s">
        <v>17</v>
      </c>
      <c r="H3273" t="s">
        <v>43</v>
      </c>
      <c r="I3273" t="s">
        <v>44</v>
      </c>
      <c r="J3273" t="s">
        <v>51</v>
      </c>
      <c r="K3273" s="9">
        <v>43612</v>
      </c>
      <c r="L3273" s="10">
        <v>0.32222222222222224</v>
      </c>
      <c r="M3273" t="s">
        <v>1629</v>
      </c>
      <c r="N3273" t="s">
        <v>4259</v>
      </c>
      <c r="O3273" t="s">
        <v>22</v>
      </c>
    </row>
    <row r="3274" spans="1:16" hidden="1">
      <c r="A3274" t="s">
        <v>15</v>
      </c>
      <c r="B3274" t="str">
        <f>"FES1162691847"</f>
        <v>FES1162691847</v>
      </c>
      <c r="C3274" s="9">
        <v>43609</v>
      </c>
      <c r="D3274">
        <v>1</v>
      </c>
      <c r="E3274">
        <v>2170690193</v>
      </c>
      <c r="F3274" t="s">
        <v>16</v>
      </c>
      <c r="G3274" t="s">
        <v>17</v>
      </c>
      <c r="H3274" t="s">
        <v>43</v>
      </c>
      <c r="I3274" t="s">
        <v>44</v>
      </c>
      <c r="J3274" t="s">
        <v>4134</v>
      </c>
      <c r="K3274" s="9">
        <v>43612</v>
      </c>
      <c r="L3274" s="10">
        <v>0.3923611111111111</v>
      </c>
      <c r="M3274" t="s">
        <v>4260</v>
      </c>
      <c r="N3274" t="s">
        <v>4261</v>
      </c>
      <c r="O3274" t="s">
        <v>22</v>
      </c>
    </row>
    <row r="3275" spans="1:16" hidden="1">
      <c r="A3275" t="s">
        <v>15</v>
      </c>
      <c r="B3275" t="str">
        <f>"FES1162691867"</f>
        <v>FES1162691867</v>
      </c>
      <c r="C3275" s="9">
        <v>43609</v>
      </c>
      <c r="D3275">
        <v>1</v>
      </c>
      <c r="E3275">
        <v>2170690216</v>
      </c>
      <c r="F3275" t="s">
        <v>16</v>
      </c>
      <c r="G3275" t="s">
        <v>17</v>
      </c>
      <c r="H3275" t="s">
        <v>290</v>
      </c>
      <c r="I3275" t="s">
        <v>291</v>
      </c>
      <c r="J3275" t="s">
        <v>4262</v>
      </c>
      <c r="K3275" s="9">
        <v>43612</v>
      </c>
      <c r="L3275" s="10">
        <v>0.34027777777777773</v>
      </c>
      <c r="M3275" t="s">
        <v>4263</v>
      </c>
      <c r="N3275" t="s">
        <v>4264</v>
      </c>
      <c r="O3275" t="s">
        <v>22</v>
      </c>
    </row>
    <row r="3276" spans="1:16" hidden="1">
      <c r="A3276" t="s">
        <v>15</v>
      </c>
      <c r="B3276" t="str">
        <f>"FES1162691851"</f>
        <v>FES1162691851</v>
      </c>
      <c r="C3276" s="9">
        <v>43609</v>
      </c>
      <c r="D3276">
        <v>1</v>
      </c>
      <c r="E3276">
        <v>2170690199</v>
      </c>
      <c r="F3276" t="s">
        <v>16</v>
      </c>
      <c r="G3276" t="s">
        <v>17</v>
      </c>
      <c r="H3276" t="s">
        <v>290</v>
      </c>
      <c r="I3276" t="s">
        <v>309</v>
      </c>
      <c r="J3276" t="s">
        <v>4265</v>
      </c>
      <c r="K3276" s="9">
        <v>43612</v>
      </c>
      <c r="L3276" s="10">
        <v>0.42986111111111108</v>
      </c>
      <c r="M3276" t="s">
        <v>4266</v>
      </c>
      <c r="N3276" t="s">
        <v>4267</v>
      </c>
      <c r="O3276" t="s">
        <v>22</v>
      </c>
    </row>
    <row r="3277" spans="1:16" hidden="1">
      <c r="A3277" t="s">
        <v>15</v>
      </c>
      <c r="B3277" t="str">
        <f>"FES1162691865"</f>
        <v>FES1162691865</v>
      </c>
      <c r="C3277" s="9">
        <v>43609</v>
      </c>
      <c r="D3277">
        <v>1</v>
      </c>
      <c r="E3277">
        <v>217690211</v>
      </c>
      <c r="F3277" t="s">
        <v>16</v>
      </c>
      <c r="G3277" t="s">
        <v>17</v>
      </c>
      <c r="H3277" t="s">
        <v>290</v>
      </c>
      <c r="I3277" t="s">
        <v>291</v>
      </c>
      <c r="J3277" t="s">
        <v>4262</v>
      </c>
      <c r="K3277" s="9">
        <v>43612</v>
      </c>
      <c r="L3277" s="10">
        <v>0.34097222222222223</v>
      </c>
      <c r="M3277" t="s">
        <v>4263</v>
      </c>
      <c r="N3277" t="s">
        <v>4268</v>
      </c>
      <c r="O3277" t="s">
        <v>22</v>
      </c>
    </row>
    <row r="3278" spans="1:16" hidden="1">
      <c r="A3278" s="6" t="s">
        <v>15</v>
      </c>
      <c r="B3278" s="6" t="str">
        <f>"FES1162691872"</f>
        <v>FES1162691872</v>
      </c>
      <c r="C3278" s="7">
        <v>43609</v>
      </c>
      <c r="D3278" s="6">
        <v>1</v>
      </c>
      <c r="E3278" s="6">
        <v>2170690221</v>
      </c>
      <c r="F3278" s="6" t="s">
        <v>16</v>
      </c>
      <c r="G3278" s="6" t="s">
        <v>17</v>
      </c>
      <c r="H3278" s="6" t="s">
        <v>290</v>
      </c>
      <c r="I3278" s="6" t="s">
        <v>291</v>
      </c>
      <c r="J3278" s="6" t="s">
        <v>817</v>
      </c>
      <c r="K3278" s="7">
        <v>43612</v>
      </c>
      <c r="L3278" s="8">
        <v>0.42708333333333331</v>
      </c>
      <c r="M3278" s="6" t="s">
        <v>4269</v>
      </c>
      <c r="N3278" s="14" t="s">
        <v>21</v>
      </c>
      <c r="O3278" s="6" t="s">
        <v>22</v>
      </c>
      <c r="P3278" s="30"/>
    </row>
    <row r="3279" spans="1:16" hidden="1">
      <c r="A3279" t="s">
        <v>15</v>
      </c>
      <c r="B3279" t="str">
        <f>"FES1162691848"</f>
        <v>FES1162691848</v>
      </c>
      <c r="C3279" s="9">
        <v>43609</v>
      </c>
      <c r="D3279">
        <v>1</v>
      </c>
      <c r="E3279">
        <v>217090197</v>
      </c>
      <c r="F3279" t="s">
        <v>16</v>
      </c>
      <c r="G3279" t="s">
        <v>17</v>
      </c>
      <c r="H3279" t="s">
        <v>290</v>
      </c>
      <c r="I3279" t="s">
        <v>291</v>
      </c>
      <c r="J3279" t="s">
        <v>4270</v>
      </c>
      <c r="K3279" s="9">
        <v>43612</v>
      </c>
      <c r="L3279" s="10">
        <v>0.41666666666666669</v>
      </c>
      <c r="M3279" t="s">
        <v>3171</v>
      </c>
      <c r="N3279" t="s">
        <v>4271</v>
      </c>
      <c r="O3279" t="s">
        <v>22</v>
      </c>
    </row>
    <row r="3280" spans="1:16" hidden="1">
      <c r="A3280" t="s">
        <v>15</v>
      </c>
      <c r="B3280" t="str">
        <f>"009935791897"</f>
        <v>009935791897</v>
      </c>
      <c r="C3280" s="9">
        <v>43609</v>
      </c>
      <c r="D3280">
        <v>1</v>
      </c>
      <c r="E3280" t="s">
        <v>3266</v>
      </c>
      <c r="F3280" t="s">
        <v>16</v>
      </c>
      <c r="G3280" t="s">
        <v>17</v>
      </c>
      <c r="H3280" t="s">
        <v>43</v>
      </c>
      <c r="I3280" t="s">
        <v>44</v>
      </c>
      <c r="J3280" t="s">
        <v>607</v>
      </c>
      <c r="K3280" s="9">
        <v>43612</v>
      </c>
      <c r="L3280" s="10">
        <v>0.33888888888888885</v>
      </c>
      <c r="M3280" t="s">
        <v>2442</v>
      </c>
      <c r="N3280" t="s">
        <v>4272</v>
      </c>
      <c r="O3280" t="s">
        <v>22</v>
      </c>
    </row>
    <row r="3281" spans="1:16" hidden="1">
      <c r="A3281" t="s">
        <v>15</v>
      </c>
      <c r="B3281" t="str">
        <f>"FES1162691869"</f>
        <v>FES1162691869</v>
      </c>
      <c r="C3281" s="9">
        <v>43609</v>
      </c>
      <c r="D3281">
        <v>1</v>
      </c>
      <c r="E3281">
        <v>2170690219</v>
      </c>
      <c r="F3281" t="s">
        <v>16</v>
      </c>
      <c r="G3281" t="s">
        <v>17</v>
      </c>
      <c r="H3281" t="s">
        <v>43</v>
      </c>
      <c r="I3281" t="s">
        <v>44</v>
      </c>
      <c r="J3281" t="s">
        <v>3770</v>
      </c>
      <c r="K3281" s="9">
        <v>43612</v>
      </c>
      <c r="L3281" s="10">
        <v>0.45833333333333331</v>
      </c>
      <c r="M3281" t="s">
        <v>3771</v>
      </c>
      <c r="N3281" t="s">
        <v>4273</v>
      </c>
      <c r="O3281" t="s">
        <v>22</v>
      </c>
    </row>
    <row r="3282" spans="1:16" hidden="1">
      <c r="A3282" s="20" t="s">
        <v>15</v>
      </c>
      <c r="B3282" s="20" t="str">
        <f>"FES1162691866"</f>
        <v>FES1162691866</v>
      </c>
      <c r="C3282" s="21">
        <v>43609</v>
      </c>
      <c r="D3282" s="20">
        <v>1</v>
      </c>
      <c r="E3282" s="20">
        <v>2170690214</v>
      </c>
      <c r="F3282" s="20" t="s">
        <v>16</v>
      </c>
      <c r="G3282" s="20" t="s">
        <v>17</v>
      </c>
      <c r="H3282" s="20" t="s">
        <v>141</v>
      </c>
      <c r="I3282" s="20" t="s">
        <v>142</v>
      </c>
      <c r="J3282" s="20" t="s">
        <v>1379</v>
      </c>
      <c r="K3282" s="21">
        <v>43612</v>
      </c>
      <c r="L3282" s="22">
        <v>0.3972222222222222</v>
      </c>
      <c r="M3282" s="20" t="s">
        <v>1205</v>
      </c>
      <c r="N3282" s="20" t="s">
        <v>21</v>
      </c>
      <c r="O3282" s="20" t="s">
        <v>22</v>
      </c>
      <c r="P3282" s="33"/>
    </row>
    <row r="3283" spans="1:16" hidden="1">
      <c r="A3283" s="3" t="s">
        <v>15</v>
      </c>
      <c r="B3283" s="3" t="str">
        <f>"FES1162691876"</f>
        <v>FES1162691876</v>
      </c>
      <c r="C3283" s="4">
        <v>43609</v>
      </c>
      <c r="D3283" s="3">
        <v>1</v>
      </c>
      <c r="E3283" s="3">
        <v>2170690227</v>
      </c>
      <c r="F3283" s="3" t="s">
        <v>16</v>
      </c>
      <c r="G3283" s="3" t="s">
        <v>17</v>
      </c>
      <c r="H3283" s="3" t="s">
        <v>141</v>
      </c>
      <c r="I3283" s="3" t="s">
        <v>142</v>
      </c>
      <c r="J3283" s="3" t="s">
        <v>4274</v>
      </c>
      <c r="K3283" s="3" t="s">
        <v>1730</v>
      </c>
      <c r="L3283" s="3"/>
      <c r="M3283" s="3" t="s">
        <v>1731</v>
      </c>
      <c r="N3283" s="3" t="s">
        <v>4275</v>
      </c>
      <c r="O3283" s="3" t="s">
        <v>22</v>
      </c>
      <c r="P3283" s="31"/>
    </row>
    <row r="3284" spans="1:16" hidden="1">
      <c r="A3284" s="14" t="s">
        <v>15</v>
      </c>
      <c r="B3284" s="14" t="str">
        <f>"FES1162691855"</f>
        <v>FES1162691855</v>
      </c>
      <c r="C3284" s="15">
        <v>43609</v>
      </c>
      <c r="D3284" s="14">
        <v>1</v>
      </c>
      <c r="E3284" s="14">
        <v>2170689758</v>
      </c>
      <c r="F3284" s="14" t="s">
        <v>16</v>
      </c>
      <c r="G3284" s="14" t="s">
        <v>17</v>
      </c>
      <c r="H3284" s="14" t="s">
        <v>132</v>
      </c>
      <c r="I3284" s="14" t="s">
        <v>133</v>
      </c>
      <c r="J3284" s="14" t="s">
        <v>846</v>
      </c>
      <c r="K3284" s="14" t="s">
        <v>1730</v>
      </c>
      <c r="L3284" s="14"/>
      <c r="M3284" s="14" t="s">
        <v>1731</v>
      </c>
      <c r="N3284" s="14" t="s">
        <v>4275</v>
      </c>
      <c r="O3284" s="14" t="s">
        <v>22</v>
      </c>
      <c r="P3284" s="32"/>
    </row>
    <row r="3285" spans="1:16" hidden="1">
      <c r="A3285" t="s">
        <v>15</v>
      </c>
      <c r="B3285" t="str">
        <f>"FES1162691888"</f>
        <v>FES1162691888</v>
      </c>
      <c r="C3285" s="9">
        <v>43609</v>
      </c>
      <c r="D3285">
        <v>1</v>
      </c>
      <c r="E3285">
        <v>2170690236</v>
      </c>
      <c r="F3285" t="s">
        <v>16</v>
      </c>
      <c r="G3285" t="s">
        <v>17</v>
      </c>
      <c r="H3285" t="s">
        <v>141</v>
      </c>
      <c r="I3285" t="s">
        <v>142</v>
      </c>
      <c r="J3285" t="s">
        <v>228</v>
      </c>
      <c r="K3285" s="9">
        <v>43612</v>
      </c>
      <c r="L3285" s="10">
        <v>0.40138888888888885</v>
      </c>
      <c r="M3285" t="s">
        <v>229</v>
      </c>
      <c r="N3285" t="s">
        <v>4276</v>
      </c>
      <c r="O3285" t="s">
        <v>22</v>
      </c>
    </row>
    <row r="3286" spans="1:16" hidden="1">
      <c r="A3286" t="s">
        <v>15</v>
      </c>
      <c r="B3286" t="str">
        <f>"FES1162691858"</f>
        <v>FES1162691858</v>
      </c>
      <c r="C3286" s="9">
        <v>43609</v>
      </c>
      <c r="D3286">
        <v>1</v>
      </c>
      <c r="E3286">
        <v>2170689863</v>
      </c>
      <c r="F3286" t="s">
        <v>16</v>
      </c>
      <c r="G3286" t="s">
        <v>17</v>
      </c>
      <c r="H3286" t="s">
        <v>141</v>
      </c>
      <c r="I3286" t="s">
        <v>142</v>
      </c>
      <c r="J3286" t="s">
        <v>195</v>
      </c>
      <c r="K3286" s="9">
        <v>43612</v>
      </c>
      <c r="L3286" s="10">
        <v>0.3215277777777778</v>
      </c>
      <c r="M3286" t="s">
        <v>2412</v>
      </c>
      <c r="N3286" t="s">
        <v>4277</v>
      </c>
      <c r="O3286" t="s">
        <v>22</v>
      </c>
    </row>
    <row r="3287" spans="1:16" hidden="1">
      <c r="A3287" s="6" t="s">
        <v>15</v>
      </c>
      <c r="B3287" s="6" t="str">
        <f>"FES1162691881"</f>
        <v>FES1162691881</v>
      </c>
      <c r="C3287" s="7">
        <v>43609</v>
      </c>
      <c r="D3287" s="6">
        <v>1</v>
      </c>
      <c r="E3287" s="6">
        <v>2170690232</v>
      </c>
      <c r="F3287" s="6" t="s">
        <v>16</v>
      </c>
      <c r="G3287" s="6" t="s">
        <v>17</v>
      </c>
      <c r="H3287" s="6" t="s">
        <v>425</v>
      </c>
      <c r="I3287" s="6" t="s">
        <v>426</v>
      </c>
      <c r="J3287" s="6" t="s">
        <v>783</v>
      </c>
      <c r="K3287" s="7">
        <v>43612</v>
      </c>
      <c r="L3287" s="8">
        <v>0.41736111111111113</v>
      </c>
      <c r="M3287" s="6" t="s">
        <v>937</v>
      </c>
      <c r="N3287" s="14" t="s">
        <v>21</v>
      </c>
      <c r="O3287" s="6" t="s">
        <v>22</v>
      </c>
      <c r="P3287" s="30"/>
    </row>
    <row r="3288" spans="1:16" hidden="1">
      <c r="A3288" s="14" t="s">
        <v>15</v>
      </c>
      <c r="B3288" s="14" t="str">
        <f>"FES1162691762"</f>
        <v>FES1162691762</v>
      </c>
      <c r="C3288" s="15">
        <v>43609</v>
      </c>
      <c r="D3288" s="14">
        <v>1</v>
      </c>
      <c r="E3288" s="14">
        <v>217069328</v>
      </c>
      <c r="F3288" s="14" t="s">
        <v>16</v>
      </c>
      <c r="G3288" s="14" t="s">
        <v>17</v>
      </c>
      <c r="H3288" s="14" t="s">
        <v>43</v>
      </c>
      <c r="I3288" s="14" t="s">
        <v>75</v>
      </c>
      <c r="J3288" s="14" t="s">
        <v>222</v>
      </c>
      <c r="K3288" s="15">
        <v>43612</v>
      </c>
      <c r="L3288" s="16">
        <v>0.45416666666666666</v>
      </c>
      <c r="M3288" s="14" t="s">
        <v>2515</v>
      </c>
      <c r="N3288" s="14" t="s">
        <v>21</v>
      </c>
      <c r="O3288" s="14" t="s">
        <v>22</v>
      </c>
      <c r="P3288" s="32"/>
    </row>
    <row r="3289" spans="1:16" hidden="1">
      <c r="A3289" s="20" t="s">
        <v>15</v>
      </c>
      <c r="B3289" s="20" t="str">
        <f>"009938887379"</f>
        <v>009938887379</v>
      </c>
      <c r="C3289" s="21">
        <v>43609</v>
      </c>
      <c r="D3289" s="20">
        <v>1</v>
      </c>
      <c r="E3289" s="20" t="s">
        <v>1060</v>
      </c>
      <c r="F3289" s="20" t="s">
        <v>58</v>
      </c>
      <c r="G3289" s="20" t="s">
        <v>43</v>
      </c>
      <c r="H3289" s="20" t="s">
        <v>59</v>
      </c>
      <c r="I3289" s="20" t="s">
        <v>64</v>
      </c>
      <c r="J3289" s="20" t="s">
        <v>1061</v>
      </c>
      <c r="K3289" s="21">
        <v>43612</v>
      </c>
      <c r="L3289" s="22">
        <v>0.36874999999999997</v>
      </c>
      <c r="M3289" s="20" t="s">
        <v>477</v>
      </c>
      <c r="N3289" s="20" t="s">
        <v>21</v>
      </c>
      <c r="O3289" s="20" t="s">
        <v>22</v>
      </c>
      <c r="P3289" s="33"/>
    </row>
    <row r="3290" spans="1:16" hidden="1">
      <c r="A3290" s="3" t="s">
        <v>15</v>
      </c>
      <c r="B3290" s="3" t="str">
        <f>"FES1162691924"</f>
        <v>FES1162691924</v>
      </c>
      <c r="C3290" s="4">
        <v>43612</v>
      </c>
      <c r="D3290" s="3">
        <v>1</v>
      </c>
      <c r="E3290" s="3">
        <v>217069025</v>
      </c>
      <c r="F3290" s="3" t="s">
        <v>16</v>
      </c>
      <c r="G3290" s="3" t="s">
        <v>17</v>
      </c>
      <c r="H3290" s="3" t="s">
        <v>43</v>
      </c>
      <c r="I3290" s="3" t="s">
        <v>44</v>
      </c>
      <c r="J3290" s="3" t="s">
        <v>3856</v>
      </c>
      <c r="K3290" s="3" t="s">
        <v>1730</v>
      </c>
      <c r="L3290" s="3"/>
      <c r="M3290" s="3" t="s">
        <v>1731</v>
      </c>
      <c r="N3290" s="3" t="s">
        <v>4275</v>
      </c>
      <c r="O3290" s="3" t="s">
        <v>22</v>
      </c>
      <c r="P3290" s="30"/>
    </row>
    <row r="3291" spans="1:16" hidden="1">
      <c r="A3291" s="6" t="s">
        <v>15</v>
      </c>
      <c r="B3291" s="6" t="str">
        <f>"FES1162691921"</f>
        <v>FES1162691921</v>
      </c>
      <c r="C3291" s="7">
        <v>43612</v>
      </c>
      <c r="D3291" s="6">
        <v>1</v>
      </c>
      <c r="E3291" s="6">
        <v>2170690245</v>
      </c>
      <c r="F3291" s="6" t="s">
        <v>16</v>
      </c>
      <c r="G3291" s="6" t="s">
        <v>17</v>
      </c>
      <c r="H3291" s="6" t="s">
        <v>43</v>
      </c>
      <c r="I3291" s="6" t="s">
        <v>44</v>
      </c>
      <c r="J3291" s="6" t="s">
        <v>4278</v>
      </c>
      <c r="K3291" s="6" t="s">
        <v>1730</v>
      </c>
      <c r="L3291" s="6"/>
      <c r="M3291" s="6" t="s">
        <v>1731</v>
      </c>
      <c r="N3291" s="6" t="s">
        <v>4275</v>
      </c>
      <c r="O3291" s="6" t="s">
        <v>22</v>
      </c>
      <c r="P3291" s="30"/>
    </row>
    <row r="3292" spans="1:16" hidden="1">
      <c r="A3292" s="6" t="s">
        <v>15</v>
      </c>
      <c r="B3292" s="6" t="str">
        <f>"FES1162691935"</f>
        <v>FES1162691935</v>
      </c>
      <c r="C3292" s="7">
        <v>43612</v>
      </c>
      <c r="D3292" s="6">
        <v>1</v>
      </c>
      <c r="E3292" s="6">
        <v>2170690273</v>
      </c>
      <c r="F3292" s="6" t="s">
        <v>16</v>
      </c>
      <c r="G3292" s="6" t="s">
        <v>17</v>
      </c>
      <c r="H3292" s="6" t="s">
        <v>43</v>
      </c>
      <c r="I3292" s="6" t="s">
        <v>738</v>
      </c>
      <c r="J3292" s="6" t="s">
        <v>739</v>
      </c>
      <c r="K3292" s="6" t="s">
        <v>1730</v>
      </c>
      <c r="L3292" s="6"/>
      <c r="M3292" s="6" t="s">
        <v>1731</v>
      </c>
      <c r="N3292" s="6" t="s">
        <v>4275</v>
      </c>
      <c r="O3292" s="6" t="s">
        <v>22</v>
      </c>
      <c r="P3292" s="30"/>
    </row>
    <row r="3293" spans="1:16" hidden="1">
      <c r="A3293" s="6" t="s">
        <v>15</v>
      </c>
      <c r="B3293" s="6" t="str">
        <f>"FES1162691904"</f>
        <v>FES1162691904</v>
      </c>
      <c r="C3293" s="7">
        <v>43612</v>
      </c>
      <c r="D3293" s="6">
        <v>1</v>
      </c>
      <c r="E3293" s="6">
        <v>2170688082</v>
      </c>
      <c r="F3293" s="6" t="s">
        <v>16</v>
      </c>
      <c r="G3293" s="6" t="s">
        <v>17</v>
      </c>
      <c r="H3293" s="6" t="s">
        <v>32</v>
      </c>
      <c r="I3293" s="6" t="s">
        <v>33</v>
      </c>
      <c r="J3293" s="6" t="s">
        <v>778</v>
      </c>
      <c r="K3293" s="6" t="s">
        <v>1730</v>
      </c>
      <c r="L3293" s="6"/>
      <c r="M3293" s="6" t="s">
        <v>1731</v>
      </c>
      <c r="N3293" s="6" t="s">
        <v>4275</v>
      </c>
      <c r="O3293" s="6" t="s">
        <v>22</v>
      </c>
      <c r="P3293" s="30"/>
    </row>
    <row r="3294" spans="1:16" hidden="1">
      <c r="A3294" s="6" t="s">
        <v>15</v>
      </c>
      <c r="B3294" s="6" t="str">
        <f>"FES1162692009"</f>
        <v>FES1162692009</v>
      </c>
      <c r="C3294" s="7">
        <v>43612</v>
      </c>
      <c r="D3294" s="6">
        <v>1</v>
      </c>
      <c r="E3294" s="6">
        <v>217090373</v>
      </c>
      <c r="F3294" s="6" t="s">
        <v>16</v>
      </c>
      <c r="G3294" s="6" t="s">
        <v>17</v>
      </c>
      <c r="H3294" s="6" t="s">
        <v>32</v>
      </c>
      <c r="I3294" s="6" t="s">
        <v>342</v>
      </c>
      <c r="J3294" s="6" t="s">
        <v>949</v>
      </c>
      <c r="K3294" s="6" t="s">
        <v>1730</v>
      </c>
      <c r="L3294" s="6"/>
      <c r="M3294" s="6" t="s">
        <v>1731</v>
      </c>
      <c r="N3294" s="6" t="s">
        <v>4275</v>
      </c>
      <c r="O3294" s="6" t="s">
        <v>22</v>
      </c>
      <c r="P3294" s="30"/>
    </row>
    <row r="3295" spans="1:16" hidden="1">
      <c r="A3295" s="6" t="s">
        <v>15</v>
      </c>
      <c r="B3295" s="6" t="str">
        <f>"FES1162691901"</f>
        <v>FES1162691901</v>
      </c>
      <c r="C3295" s="7">
        <v>43612</v>
      </c>
      <c r="D3295" s="6">
        <v>1</v>
      </c>
      <c r="E3295" s="6">
        <v>217087820</v>
      </c>
      <c r="F3295" s="6" t="s">
        <v>16</v>
      </c>
      <c r="G3295" s="6" t="s">
        <v>17</v>
      </c>
      <c r="H3295" s="6" t="s">
        <v>43</v>
      </c>
      <c r="I3295" s="6" t="s">
        <v>44</v>
      </c>
      <c r="J3295" s="6" t="s">
        <v>860</v>
      </c>
      <c r="K3295" s="6" t="s">
        <v>1730</v>
      </c>
      <c r="L3295" s="6"/>
      <c r="M3295" s="6" t="s">
        <v>1731</v>
      </c>
      <c r="N3295" s="6" t="s">
        <v>4275</v>
      </c>
      <c r="O3295" s="6" t="s">
        <v>22</v>
      </c>
      <c r="P3295" s="30"/>
    </row>
    <row r="3296" spans="1:16" hidden="1">
      <c r="A3296" s="6" t="s">
        <v>15</v>
      </c>
      <c r="B3296" s="6" t="str">
        <f>"FES1162691915"</f>
        <v>FES1162691915</v>
      </c>
      <c r="C3296" s="7">
        <v>43612</v>
      </c>
      <c r="D3296" s="6">
        <v>1</v>
      </c>
      <c r="E3296" s="6">
        <v>2170690011</v>
      </c>
      <c r="F3296" s="6" t="s">
        <v>16</v>
      </c>
      <c r="G3296" s="6" t="s">
        <v>17</v>
      </c>
      <c r="H3296" s="6" t="s">
        <v>43</v>
      </c>
      <c r="I3296" s="6" t="s">
        <v>44</v>
      </c>
      <c r="J3296" s="6" t="s">
        <v>176</v>
      </c>
      <c r="K3296" s="6" t="s">
        <v>1730</v>
      </c>
      <c r="L3296" s="6"/>
      <c r="M3296" s="6" t="s">
        <v>1731</v>
      </c>
      <c r="N3296" s="6" t="s">
        <v>4275</v>
      </c>
      <c r="O3296" s="6" t="s">
        <v>22</v>
      </c>
      <c r="P3296" s="30"/>
    </row>
    <row r="3297" spans="1:16" hidden="1">
      <c r="A3297" s="6" t="s">
        <v>15</v>
      </c>
      <c r="B3297" s="6" t="str">
        <f>"FES1162691954"</f>
        <v>FES1162691954</v>
      </c>
      <c r="C3297" s="7">
        <v>43612</v>
      </c>
      <c r="D3297" s="6">
        <v>1</v>
      </c>
      <c r="E3297" s="6">
        <v>217069308</v>
      </c>
      <c r="F3297" s="6" t="s">
        <v>16</v>
      </c>
      <c r="G3297" s="6" t="s">
        <v>17</v>
      </c>
      <c r="H3297" s="6" t="s">
        <v>32</v>
      </c>
      <c r="I3297" s="6" t="s">
        <v>33</v>
      </c>
      <c r="J3297" s="6" t="s">
        <v>360</v>
      </c>
      <c r="K3297" s="6" t="s">
        <v>1730</v>
      </c>
      <c r="L3297" s="6"/>
      <c r="M3297" s="6" t="s">
        <v>1731</v>
      </c>
      <c r="N3297" s="6" t="s">
        <v>4275</v>
      </c>
      <c r="O3297" s="6" t="s">
        <v>22</v>
      </c>
      <c r="P3297" s="30"/>
    </row>
    <row r="3298" spans="1:16" hidden="1">
      <c r="A3298" s="6" t="s">
        <v>15</v>
      </c>
      <c r="B3298" s="6" t="str">
        <f>"FES1162691961"</f>
        <v>FES1162691961</v>
      </c>
      <c r="C3298" s="7">
        <v>43612</v>
      </c>
      <c r="D3298" s="6">
        <v>1</v>
      </c>
      <c r="E3298" s="6">
        <v>2170690317</v>
      </c>
      <c r="F3298" s="6" t="s">
        <v>16</v>
      </c>
      <c r="G3298" s="6" t="s">
        <v>17</v>
      </c>
      <c r="H3298" s="6" t="s">
        <v>32</v>
      </c>
      <c r="I3298" s="6" t="s">
        <v>342</v>
      </c>
      <c r="J3298" s="6" t="s">
        <v>726</v>
      </c>
      <c r="K3298" s="6" t="s">
        <v>1730</v>
      </c>
      <c r="L3298" s="6"/>
      <c r="M3298" s="6" t="s">
        <v>1731</v>
      </c>
      <c r="N3298" s="6" t="s">
        <v>4275</v>
      </c>
      <c r="O3298" s="6" t="s">
        <v>22</v>
      </c>
      <c r="P3298" s="30"/>
    </row>
    <row r="3299" spans="1:16" hidden="1">
      <c r="A3299" s="6" t="s">
        <v>15</v>
      </c>
      <c r="B3299" s="6" t="str">
        <f>"FES1162691927"</f>
        <v>FES1162691927</v>
      </c>
      <c r="C3299" s="7">
        <v>43612</v>
      </c>
      <c r="D3299" s="6">
        <v>1</v>
      </c>
      <c r="E3299" s="6">
        <v>217069259</v>
      </c>
      <c r="F3299" s="6" t="s">
        <v>16</v>
      </c>
      <c r="G3299" s="6" t="s">
        <v>17</v>
      </c>
      <c r="H3299" s="6" t="s">
        <v>32</v>
      </c>
      <c r="I3299" s="6" t="s">
        <v>342</v>
      </c>
      <c r="J3299" s="6" t="s">
        <v>549</v>
      </c>
      <c r="K3299" s="6" t="s">
        <v>1730</v>
      </c>
      <c r="L3299" s="6"/>
      <c r="M3299" s="6" t="s">
        <v>1731</v>
      </c>
      <c r="N3299" s="6" t="s">
        <v>4275</v>
      </c>
      <c r="O3299" s="6" t="s">
        <v>22</v>
      </c>
      <c r="P3299" s="30"/>
    </row>
    <row r="3300" spans="1:16" hidden="1">
      <c r="A3300" s="6" t="s">
        <v>15</v>
      </c>
      <c r="B3300" s="6" t="str">
        <f>"FES1162691966"</f>
        <v>FES1162691966</v>
      </c>
      <c r="C3300" s="7">
        <v>43612</v>
      </c>
      <c r="D3300" s="6">
        <v>1</v>
      </c>
      <c r="E3300" s="6">
        <v>2170690322</v>
      </c>
      <c r="F3300" s="6" t="s">
        <v>16</v>
      </c>
      <c r="G3300" s="6" t="s">
        <v>17</v>
      </c>
      <c r="H3300" s="6" t="s">
        <v>32</v>
      </c>
      <c r="I3300" s="6" t="s">
        <v>33</v>
      </c>
      <c r="J3300" s="6" t="s">
        <v>1774</v>
      </c>
      <c r="K3300" s="6" t="s">
        <v>1730</v>
      </c>
      <c r="L3300" s="6"/>
      <c r="M3300" s="6" t="s">
        <v>1731</v>
      </c>
      <c r="N3300" s="6" t="s">
        <v>4275</v>
      </c>
      <c r="O3300" s="6" t="s">
        <v>22</v>
      </c>
      <c r="P3300" s="30"/>
    </row>
    <row r="3301" spans="1:16" hidden="1">
      <c r="A3301" s="6" t="s">
        <v>15</v>
      </c>
      <c r="B3301" s="6" t="str">
        <f>"FES1162691953"</f>
        <v>FES1162691953</v>
      </c>
      <c r="C3301" s="7">
        <v>43612</v>
      </c>
      <c r="D3301" s="6">
        <v>1</v>
      </c>
      <c r="E3301" s="6">
        <v>217060306</v>
      </c>
      <c r="F3301" s="6" t="s">
        <v>16</v>
      </c>
      <c r="G3301" s="6" t="s">
        <v>17</v>
      </c>
      <c r="H3301" s="6" t="s">
        <v>32</v>
      </c>
      <c r="I3301" s="6" t="s">
        <v>33</v>
      </c>
      <c r="J3301" s="6" t="s">
        <v>2917</v>
      </c>
      <c r="K3301" s="6" t="s">
        <v>1730</v>
      </c>
      <c r="L3301" s="6"/>
      <c r="M3301" s="6" t="s">
        <v>1731</v>
      </c>
      <c r="N3301" s="6" t="s">
        <v>4275</v>
      </c>
      <c r="O3301" s="6" t="s">
        <v>22</v>
      </c>
      <c r="P3301" s="30"/>
    </row>
    <row r="3302" spans="1:16" hidden="1">
      <c r="A3302" s="6" t="s">
        <v>15</v>
      </c>
      <c r="B3302" s="6" t="str">
        <f>"FES1162691920"</f>
        <v>FES1162691920</v>
      </c>
      <c r="C3302" s="7">
        <v>43612</v>
      </c>
      <c r="D3302" s="6">
        <v>1</v>
      </c>
      <c r="E3302" s="6">
        <v>2170690244</v>
      </c>
      <c r="F3302" s="6" t="s">
        <v>16</v>
      </c>
      <c r="G3302" s="6" t="s">
        <v>17</v>
      </c>
      <c r="H3302" s="6" t="s">
        <v>32</v>
      </c>
      <c r="I3302" s="6" t="s">
        <v>33</v>
      </c>
      <c r="J3302" s="6" t="s">
        <v>357</v>
      </c>
      <c r="K3302" s="6" t="s">
        <v>1730</v>
      </c>
      <c r="L3302" s="6"/>
      <c r="M3302" s="6" t="s">
        <v>1731</v>
      </c>
      <c r="N3302" s="6" t="s">
        <v>4275</v>
      </c>
      <c r="O3302" s="6" t="s">
        <v>22</v>
      </c>
      <c r="P3302" s="30"/>
    </row>
    <row r="3303" spans="1:16" hidden="1">
      <c r="A3303" s="6" t="s">
        <v>15</v>
      </c>
      <c r="B3303" s="6" t="str">
        <f>"FES1162691962"</f>
        <v>FES1162691962</v>
      </c>
      <c r="C3303" s="7">
        <v>43612</v>
      </c>
      <c r="D3303" s="6">
        <v>1</v>
      </c>
      <c r="E3303" s="6">
        <v>2170690319</v>
      </c>
      <c r="F3303" s="6" t="s">
        <v>16</v>
      </c>
      <c r="G3303" s="6" t="s">
        <v>17</v>
      </c>
      <c r="H3303" s="6" t="s">
        <v>32</v>
      </c>
      <c r="I3303" s="6" t="s">
        <v>33</v>
      </c>
      <c r="J3303" s="6" t="s">
        <v>1774</v>
      </c>
      <c r="K3303" s="6" t="s">
        <v>1730</v>
      </c>
      <c r="L3303" s="6"/>
      <c r="M3303" s="6" t="s">
        <v>1731</v>
      </c>
      <c r="N3303" s="6" t="s">
        <v>4275</v>
      </c>
      <c r="O3303" s="6" t="s">
        <v>22</v>
      </c>
      <c r="P3303" s="30"/>
    </row>
    <row r="3304" spans="1:16" hidden="1">
      <c r="A3304" s="6" t="s">
        <v>15</v>
      </c>
      <c r="B3304" s="6" t="str">
        <f>"FES1162691896"</f>
        <v>FES1162691896</v>
      </c>
      <c r="C3304" s="7">
        <v>43612</v>
      </c>
      <c r="D3304" s="6">
        <v>1</v>
      </c>
      <c r="E3304" s="6">
        <v>2170689292</v>
      </c>
      <c r="F3304" s="6" t="s">
        <v>16</v>
      </c>
      <c r="G3304" s="6" t="s">
        <v>17</v>
      </c>
      <c r="H3304" s="6" t="s">
        <v>32</v>
      </c>
      <c r="I3304" s="6" t="s">
        <v>342</v>
      </c>
      <c r="J3304" s="6" t="s">
        <v>1340</v>
      </c>
      <c r="K3304" s="6" t="s">
        <v>1730</v>
      </c>
      <c r="L3304" s="6"/>
      <c r="M3304" s="6" t="s">
        <v>1731</v>
      </c>
      <c r="N3304" s="6" t="s">
        <v>4275</v>
      </c>
      <c r="O3304" s="6" t="s">
        <v>22</v>
      </c>
      <c r="P3304" s="30"/>
    </row>
    <row r="3305" spans="1:16" hidden="1">
      <c r="A3305" s="6" t="s">
        <v>15</v>
      </c>
      <c r="B3305" s="6" t="str">
        <f>"FES1162691918"</f>
        <v>FES1162691918</v>
      </c>
      <c r="C3305" s="7">
        <v>43612</v>
      </c>
      <c r="D3305" s="6">
        <v>1</v>
      </c>
      <c r="E3305" s="6">
        <v>217069239</v>
      </c>
      <c r="F3305" s="6" t="s">
        <v>16</v>
      </c>
      <c r="G3305" s="6" t="s">
        <v>17</v>
      </c>
      <c r="H3305" s="6" t="s">
        <v>37</v>
      </c>
      <c r="I3305" s="6" t="s">
        <v>38</v>
      </c>
      <c r="J3305" s="6" t="s">
        <v>349</v>
      </c>
      <c r="K3305" s="6" t="s">
        <v>1730</v>
      </c>
      <c r="L3305" s="6"/>
      <c r="M3305" s="6" t="s">
        <v>1731</v>
      </c>
      <c r="N3305" s="6" t="s">
        <v>4275</v>
      </c>
      <c r="O3305" s="6" t="s">
        <v>22</v>
      </c>
      <c r="P3305" s="30"/>
    </row>
    <row r="3306" spans="1:16" hidden="1">
      <c r="A3306" s="6" t="s">
        <v>15</v>
      </c>
      <c r="B3306" s="6" t="str">
        <f>"FES1162691960"</f>
        <v>FES1162691960</v>
      </c>
      <c r="C3306" s="7">
        <v>43612</v>
      </c>
      <c r="D3306" s="6">
        <v>1</v>
      </c>
      <c r="E3306" s="6">
        <v>2170690136</v>
      </c>
      <c r="F3306" s="6" t="s">
        <v>16</v>
      </c>
      <c r="G3306" s="6" t="s">
        <v>17</v>
      </c>
      <c r="H3306" s="6" t="s">
        <v>43</v>
      </c>
      <c r="I3306" s="6" t="s">
        <v>44</v>
      </c>
      <c r="J3306" s="6" t="s">
        <v>48</v>
      </c>
      <c r="K3306" s="6" t="s">
        <v>1730</v>
      </c>
      <c r="L3306" s="6"/>
      <c r="M3306" s="6" t="s">
        <v>1731</v>
      </c>
      <c r="N3306" s="6" t="s">
        <v>4275</v>
      </c>
      <c r="O3306" s="6" t="s">
        <v>22</v>
      </c>
      <c r="P3306" s="30"/>
    </row>
    <row r="3307" spans="1:16" hidden="1">
      <c r="A3307" s="6" t="s">
        <v>15</v>
      </c>
      <c r="B3307" s="6" t="str">
        <f>"FES1162691911"</f>
        <v>FES1162691911</v>
      </c>
      <c r="C3307" s="7">
        <v>43612</v>
      </c>
      <c r="D3307" s="6">
        <v>1</v>
      </c>
      <c r="E3307" s="6">
        <v>2170689542</v>
      </c>
      <c r="F3307" s="6" t="s">
        <v>16</v>
      </c>
      <c r="G3307" s="6" t="s">
        <v>17</v>
      </c>
      <c r="H3307" s="6" t="s">
        <v>132</v>
      </c>
      <c r="I3307" s="6" t="s">
        <v>133</v>
      </c>
      <c r="J3307" s="6" t="s">
        <v>639</v>
      </c>
      <c r="K3307" s="6" t="s">
        <v>1730</v>
      </c>
      <c r="L3307" s="6"/>
      <c r="M3307" s="6" t="s">
        <v>1731</v>
      </c>
      <c r="N3307" s="6" t="s">
        <v>4275</v>
      </c>
      <c r="O3307" s="6" t="s">
        <v>22</v>
      </c>
      <c r="P3307" s="30"/>
    </row>
    <row r="3308" spans="1:16" hidden="1">
      <c r="A3308" s="6" t="s">
        <v>15</v>
      </c>
      <c r="B3308" s="6" t="str">
        <f>"FES1162691943"</f>
        <v>FES1162691943</v>
      </c>
      <c r="C3308" s="7">
        <v>43612</v>
      </c>
      <c r="D3308" s="6">
        <v>1</v>
      </c>
      <c r="E3308" s="6">
        <v>2170690293</v>
      </c>
      <c r="F3308" s="6" t="s">
        <v>16</v>
      </c>
      <c r="G3308" s="6" t="s">
        <v>17</v>
      </c>
      <c r="H3308" s="6" t="s">
        <v>141</v>
      </c>
      <c r="I3308" s="6" t="s">
        <v>142</v>
      </c>
      <c r="J3308" s="6" t="s">
        <v>2157</v>
      </c>
      <c r="K3308" s="6" t="s">
        <v>1730</v>
      </c>
      <c r="L3308" s="6"/>
      <c r="M3308" s="6" t="s">
        <v>1731</v>
      </c>
      <c r="N3308" s="6" t="s">
        <v>4275</v>
      </c>
      <c r="O3308" s="6" t="s">
        <v>22</v>
      </c>
      <c r="P3308" s="30"/>
    </row>
    <row r="3309" spans="1:16" hidden="1">
      <c r="A3309" s="6" t="s">
        <v>15</v>
      </c>
      <c r="B3309" s="6" t="str">
        <f>"FES1162691889"</f>
        <v>FES1162691889</v>
      </c>
      <c r="C3309" s="7">
        <v>43612</v>
      </c>
      <c r="D3309" s="6">
        <v>1</v>
      </c>
      <c r="E3309" s="6">
        <v>2170683407</v>
      </c>
      <c r="F3309" s="6" t="s">
        <v>16</v>
      </c>
      <c r="G3309" s="6" t="s">
        <v>17</v>
      </c>
      <c r="H3309" s="6" t="s">
        <v>141</v>
      </c>
      <c r="I3309" s="6" t="s">
        <v>142</v>
      </c>
      <c r="J3309" s="6" t="s">
        <v>195</v>
      </c>
      <c r="K3309" s="6" t="s">
        <v>1730</v>
      </c>
      <c r="L3309" s="6"/>
      <c r="M3309" s="6" t="s">
        <v>1731</v>
      </c>
      <c r="N3309" s="6" t="s">
        <v>4275</v>
      </c>
      <c r="O3309" s="6" t="s">
        <v>22</v>
      </c>
      <c r="P3309" s="30"/>
    </row>
    <row r="3310" spans="1:16" hidden="1">
      <c r="A3310" s="6" t="s">
        <v>15</v>
      </c>
      <c r="B3310" s="6" t="str">
        <f>"FES1162691887"</f>
        <v>FES1162691887</v>
      </c>
      <c r="C3310" s="7">
        <v>43612</v>
      </c>
      <c r="D3310" s="6">
        <v>1</v>
      </c>
      <c r="E3310" s="6">
        <v>2170683403</v>
      </c>
      <c r="F3310" s="6" t="s">
        <v>16</v>
      </c>
      <c r="G3310" s="6" t="s">
        <v>17</v>
      </c>
      <c r="H3310" s="6" t="s">
        <v>141</v>
      </c>
      <c r="I3310" s="6" t="s">
        <v>142</v>
      </c>
      <c r="J3310" s="6" t="s">
        <v>195</v>
      </c>
      <c r="K3310" s="6" t="s">
        <v>1730</v>
      </c>
      <c r="L3310" s="6"/>
      <c r="M3310" s="6" t="s">
        <v>1731</v>
      </c>
      <c r="N3310" s="6" t="s">
        <v>4275</v>
      </c>
      <c r="O3310" s="6" t="s">
        <v>22</v>
      </c>
      <c r="P3310" s="30"/>
    </row>
    <row r="3311" spans="1:16" hidden="1">
      <c r="A3311" s="6" t="s">
        <v>15</v>
      </c>
      <c r="B3311" s="6" t="str">
        <f>"FES1162691916"</f>
        <v>FES1162691916</v>
      </c>
      <c r="C3311" s="7">
        <v>43612</v>
      </c>
      <c r="D3311" s="6">
        <v>1</v>
      </c>
      <c r="E3311" s="6">
        <v>2170690235</v>
      </c>
      <c r="F3311" s="6" t="s">
        <v>16</v>
      </c>
      <c r="G3311" s="6" t="s">
        <v>17</v>
      </c>
      <c r="H3311" s="6" t="s">
        <v>290</v>
      </c>
      <c r="I3311" s="6" t="s">
        <v>291</v>
      </c>
      <c r="J3311" s="6" t="s">
        <v>1187</v>
      </c>
      <c r="K3311" s="6" t="s">
        <v>1730</v>
      </c>
      <c r="L3311" s="6"/>
      <c r="M3311" s="6" t="s">
        <v>1731</v>
      </c>
      <c r="N3311" s="6" t="s">
        <v>4275</v>
      </c>
      <c r="O3311" s="6" t="s">
        <v>22</v>
      </c>
      <c r="P3311" s="30"/>
    </row>
    <row r="3312" spans="1:16" hidden="1">
      <c r="A3312" s="6" t="s">
        <v>15</v>
      </c>
      <c r="B3312" s="6" t="str">
        <f>"FES1162691982"</f>
        <v>FES1162691982</v>
      </c>
      <c r="C3312" s="7">
        <v>43612</v>
      </c>
      <c r="D3312" s="6">
        <v>1</v>
      </c>
      <c r="E3312" s="6">
        <v>2170690342</v>
      </c>
      <c r="F3312" s="6" t="s">
        <v>16</v>
      </c>
      <c r="G3312" s="6" t="s">
        <v>17</v>
      </c>
      <c r="H3312" s="6" t="s">
        <v>290</v>
      </c>
      <c r="I3312" s="6" t="s">
        <v>291</v>
      </c>
      <c r="J3312" s="6" t="s">
        <v>297</v>
      </c>
      <c r="K3312" s="6" t="s">
        <v>1730</v>
      </c>
      <c r="L3312" s="6"/>
      <c r="M3312" s="6" t="s">
        <v>1731</v>
      </c>
      <c r="N3312" s="6" t="s">
        <v>4275</v>
      </c>
      <c r="O3312" s="6" t="s">
        <v>22</v>
      </c>
      <c r="P3312" s="30"/>
    </row>
    <row r="3313" spans="1:16" hidden="1">
      <c r="A3313" s="6" t="s">
        <v>15</v>
      </c>
      <c r="B3313" s="6" t="str">
        <f>"FES1162691928"</f>
        <v>FES1162691928</v>
      </c>
      <c r="C3313" s="7">
        <v>43612</v>
      </c>
      <c r="D3313" s="6">
        <v>1</v>
      </c>
      <c r="E3313" s="6">
        <v>2170690260</v>
      </c>
      <c r="F3313" s="6" t="s">
        <v>16</v>
      </c>
      <c r="G3313" s="6" t="s">
        <v>17</v>
      </c>
      <c r="H3313" s="6" t="s">
        <v>43</v>
      </c>
      <c r="I3313" s="6" t="s">
        <v>44</v>
      </c>
      <c r="J3313" s="6" t="s">
        <v>4279</v>
      </c>
      <c r="K3313" s="6" t="s">
        <v>1730</v>
      </c>
      <c r="L3313" s="6"/>
      <c r="M3313" s="6" t="s">
        <v>1731</v>
      </c>
      <c r="N3313" s="6" t="s">
        <v>4275</v>
      </c>
      <c r="O3313" s="6" t="s">
        <v>22</v>
      </c>
      <c r="P3313" s="30"/>
    </row>
    <row r="3314" spans="1:16" hidden="1">
      <c r="A3314" s="6" t="s">
        <v>15</v>
      </c>
      <c r="B3314" s="6" t="str">
        <f>"FES1162691993"</f>
        <v>FES1162691993</v>
      </c>
      <c r="C3314" s="7">
        <v>43612</v>
      </c>
      <c r="D3314" s="6">
        <v>1</v>
      </c>
      <c r="E3314" s="6">
        <v>2170690358</v>
      </c>
      <c r="F3314" s="6" t="s">
        <v>16</v>
      </c>
      <c r="G3314" s="6" t="s">
        <v>17</v>
      </c>
      <c r="H3314" s="6" t="s">
        <v>43</v>
      </c>
      <c r="I3314" s="6" t="s">
        <v>44</v>
      </c>
      <c r="J3314" s="6" t="s">
        <v>591</v>
      </c>
      <c r="K3314" s="7">
        <v>43613</v>
      </c>
      <c r="L3314" s="8">
        <v>0.32083333333333336</v>
      </c>
      <c r="M3314" s="6" t="s">
        <v>3545</v>
      </c>
      <c r="N3314" s="6" t="s">
        <v>21</v>
      </c>
      <c r="O3314" s="6" t="s">
        <v>22</v>
      </c>
      <c r="P3314" s="30"/>
    </row>
    <row r="3315" spans="1:16" hidden="1">
      <c r="A3315" s="6" t="s">
        <v>15</v>
      </c>
      <c r="B3315" s="6" t="str">
        <f>"FES1162691940"</f>
        <v>FES1162691940</v>
      </c>
      <c r="C3315" s="7">
        <v>43612</v>
      </c>
      <c r="D3315" s="6">
        <v>1</v>
      </c>
      <c r="E3315" s="6">
        <v>2170690288</v>
      </c>
      <c r="F3315" s="6" t="s">
        <v>16</v>
      </c>
      <c r="G3315" s="6" t="s">
        <v>17</v>
      </c>
      <c r="H3315" s="6" t="s">
        <v>132</v>
      </c>
      <c r="I3315" s="6" t="s">
        <v>133</v>
      </c>
      <c r="J3315" s="6" t="s">
        <v>238</v>
      </c>
      <c r="K3315" s="6" t="s">
        <v>1730</v>
      </c>
      <c r="L3315" s="6"/>
      <c r="M3315" s="6" t="s">
        <v>1731</v>
      </c>
      <c r="N3315" s="6" t="s">
        <v>4275</v>
      </c>
      <c r="O3315" s="6" t="s">
        <v>22</v>
      </c>
      <c r="P3315" s="30"/>
    </row>
    <row r="3316" spans="1:16" hidden="1">
      <c r="A3316" s="6" t="s">
        <v>15</v>
      </c>
      <c r="B3316" s="6" t="str">
        <f>"FES1162691906"</f>
        <v>FES1162691906</v>
      </c>
      <c r="C3316" s="7">
        <v>43612</v>
      </c>
      <c r="D3316" s="6">
        <v>1</v>
      </c>
      <c r="E3316" s="6">
        <v>2170688150</v>
      </c>
      <c r="F3316" s="6" t="s">
        <v>16</v>
      </c>
      <c r="G3316" s="6" t="s">
        <v>17</v>
      </c>
      <c r="H3316" s="6" t="s">
        <v>43</v>
      </c>
      <c r="I3316" s="6" t="s">
        <v>44</v>
      </c>
      <c r="J3316" s="6" t="s">
        <v>336</v>
      </c>
      <c r="K3316" s="6" t="s">
        <v>1730</v>
      </c>
      <c r="L3316" s="6"/>
      <c r="M3316" s="6" t="s">
        <v>1731</v>
      </c>
      <c r="N3316" s="6" t="s">
        <v>4275</v>
      </c>
      <c r="O3316" s="6" t="s">
        <v>22</v>
      </c>
      <c r="P3316" s="30"/>
    </row>
    <row r="3317" spans="1:16" hidden="1">
      <c r="A3317" s="6" t="s">
        <v>15</v>
      </c>
      <c r="B3317" s="6" t="str">
        <f>"FES1162691929"</f>
        <v>FES1162691929</v>
      </c>
      <c r="C3317" s="7">
        <v>43612</v>
      </c>
      <c r="D3317" s="6">
        <v>1</v>
      </c>
      <c r="E3317" s="6">
        <v>2170690263</v>
      </c>
      <c r="F3317" s="6" t="s">
        <v>16</v>
      </c>
      <c r="G3317" s="6" t="s">
        <v>17</v>
      </c>
      <c r="H3317" s="6" t="s">
        <v>141</v>
      </c>
      <c r="I3317" s="6" t="s">
        <v>185</v>
      </c>
      <c r="J3317" s="6" t="s">
        <v>210</v>
      </c>
      <c r="K3317" s="6" t="s">
        <v>1730</v>
      </c>
      <c r="L3317" s="6"/>
      <c r="M3317" s="6" t="s">
        <v>1731</v>
      </c>
      <c r="N3317" s="6" t="s">
        <v>4275</v>
      </c>
      <c r="O3317" s="6" t="s">
        <v>22</v>
      </c>
      <c r="P3317" s="30"/>
    </row>
    <row r="3318" spans="1:16" hidden="1">
      <c r="A3318" s="6" t="s">
        <v>15</v>
      </c>
      <c r="B3318" s="6" t="str">
        <f>"FES1162691905"</f>
        <v>FES1162691905</v>
      </c>
      <c r="C3318" s="7">
        <v>43612</v>
      </c>
      <c r="D3318" s="6">
        <v>1</v>
      </c>
      <c r="E3318" s="6">
        <v>2170688113</v>
      </c>
      <c r="F3318" s="6" t="s">
        <v>16</v>
      </c>
      <c r="G3318" s="6" t="s">
        <v>17</v>
      </c>
      <c r="H3318" s="6" t="s">
        <v>32</v>
      </c>
      <c r="I3318" s="6" t="s">
        <v>342</v>
      </c>
      <c r="J3318" s="6" t="s">
        <v>949</v>
      </c>
      <c r="K3318" s="6" t="s">
        <v>1730</v>
      </c>
      <c r="L3318" s="6"/>
      <c r="M3318" s="6" t="s">
        <v>1731</v>
      </c>
      <c r="N3318" s="6" t="s">
        <v>4275</v>
      </c>
      <c r="O3318" s="6" t="s">
        <v>22</v>
      </c>
      <c r="P3318" s="30"/>
    </row>
    <row r="3319" spans="1:16" hidden="1">
      <c r="A3319" s="6" t="s">
        <v>15</v>
      </c>
      <c r="B3319" s="6" t="str">
        <f>"FES1162691903"</f>
        <v>FES1162691903</v>
      </c>
      <c r="C3319" s="7">
        <v>43612</v>
      </c>
      <c r="D3319" s="6">
        <v>1</v>
      </c>
      <c r="E3319" s="6">
        <v>2170688079</v>
      </c>
      <c r="F3319" s="6" t="s">
        <v>16</v>
      </c>
      <c r="G3319" s="6" t="s">
        <v>17</v>
      </c>
      <c r="H3319" s="6" t="s">
        <v>132</v>
      </c>
      <c r="I3319" s="6" t="s">
        <v>133</v>
      </c>
      <c r="J3319" s="6" t="s">
        <v>639</v>
      </c>
      <c r="K3319" s="6" t="s">
        <v>1730</v>
      </c>
      <c r="L3319" s="6"/>
      <c r="M3319" s="6" t="s">
        <v>1731</v>
      </c>
      <c r="N3319" s="6" t="s">
        <v>4275</v>
      </c>
      <c r="O3319" s="6" t="s">
        <v>22</v>
      </c>
      <c r="P3319" s="30"/>
    </row>
    <row r="3320" spans="1:16" hidden="1">
      <c r="A3320" s="6" t="s">
        <v>15</v>
      </c>
      <c r="B3320" s="6" t="str">
        <f>"FES1162692002"</f>
        <v>FES1162692002</v>
      </c>
      <c r="C3320" s="7">
        <v>43612</v>
      </c>
      <c r="D3320" s="6">
        <v>1</v>
      </c>
      <c r="E3320" s="6">
        <v>2170690366</v>
      </c>
      <c r="F3320" s="6" t="s">
        <v>16</v>
      </c>
      <c r="G3320" s="6" t="s">
        <v>17</v>
      </c>
      <c r="H3320" s="6" t="s">
        <v>141</v>
      </c>
      <c r="I3320" s="6" t="s">
        <v>185</v>
      </c>
      <c r="J3320" s="6" t="s">
        <v>461</v>
      </c>
      <c r="K3320" s="6" t="s">
        <v>1730</v>
      </c>
      <c r="L3320" s="6"/>
      <c r="M3320" s="6" t="s">
        <v>1731</v>
      </c>
      <c r="N3320" s="6" t="s">
        <v>4275</v>
      </c>
      <c r="O3320" s="6" t="s">
        <v>22</v>
      </c>
      <c r="P3320" s="30"/>
    </row>
    <row r="3321" spans="1:16" hidden="1">
      <c r="A3321" s="6" t="s">
        <v>15</v>
      </c>
      <c r="B3321" s="6" t="str">
        <f>"FES1162691894"</f>
        <v>FES1162691894</v>
      </c>
      <c r="C3321" s="7">
        <v>43612</v>
      </c>
      <c r="D3321" s="6">
        <v>1</v>
      </c>
      <c r="E3321" s="6">
        <v>21706385418</v>
      </c>
      <c r="F3321" s="6" t="s">
        <v>16</v>
      </c>
      <c r="G3321" s="6" t="s">
        <v>17</v>
      </c>
      <c r="H3321" s="6" t="s">
        <v>290</v>
      </c>
      <c r="I3321" s="6" t="s">
        <v>291</v>
      </c>
      <c r="J3321" s="6" t="s">
        <v>4063</v>
      </c>
      <c r="K3321" s="6" t="s">
        <v>1730</v>
      </c>
      <c r="L3321" s="6"/>
      <c r="M3321" s="6" t="s">
        <v>1731</v>
      </c>
      <c r="N3321" s="6" t="s">
        <v>4275</v>
      </c>
      <c r="O3321" s="6" t="s">
        <v>22</v>
      </c>
      <c r="P3321" s="30"/>
    </row>
    <row r="3322" spans="1:16" hidden="1">
      <c r="A3322" s="6" t="s">
        <v>15</v>
      </c>
      <c r="B3322" s="6" t="str">
        <f>"FES1162691941"</f>
        <v>FES1162691941</v>
      </c>
      <c r="C3322" s="7">
        <v>43612</v>
      </c>
      <c r="D3322" s="6">
        <v>1</v>
      </c>
      <c r="E3322" s="6">
        <v>2170690289</v>
      </c>
      <c r="F3322" s="6" t="s">
        <v>16</v>
      </c>
      <c r="G3322" s="6" t="s">
        <v>17</v>
      </c>
      <c r="H3322" s="6" t="s">
        <v>132</v>
      </c>
      <c r="I3322" s="6" t="s">
        <v>133</v>
      </c>
      <c r="J3322" s="6" t="s">
        <v>238</v>
      </c>
      <c r="K3322" s="6" t="s">
        <v>1730</v>
      </c>
      <c r="L3322" s="6"/>
      <c r="M3322" s="6" t="s">
        <v>1731</v>
      </c>
      <c r="N3322" s="6" t="s">
        <v>4275</v>
      </c>
      <c r="O3322" s="6" t="s">
        <v>22</v>
      </c>
      <c r="P3322" s="30"/>
    </row>
    <row r="3323" spans="1:16" hidden="1">
      <c r="A3323" s="6" t="s">
        <v>15</v>
      </c>
      <c r="B3323" s="6" t="str">
        <f>"FES1162691914"</f>
        <v>FES1162691914</v>
      </c>
      <c r="C3323" s="7">
        <v>43612</v>
      </c>
      <c r="D3323" s="6">
        <v>1</v>
      </c>
      <c r="E3323" s="6">
        <v>2170689868</v>
      </c>
      <c r="F3323" s="6" t="s">
        <v>16</v>
      </c>
      <c r="G3323" s="6" t="s">
        <v>17</v>
      </c>
      <c r="H3323" s="6" t="s">
        <v>132</v>
      </c>
      <c r="I3323" s="6" t="s">
        <v>137</v>
      </c>
      <c r="J3323" s="6" t="s">
        <v>138</v>
      </c>
      <c r="K3323" s="6" t="s">
        <v>1730</v>
      </c>
      <c r="L3323" s="6"/>
      <c r="M3323" s="6" t="s">
        <v>1731</v>
      </c>
      <c r="N3323" s="6" t="s">
        <v>4275</v>
      </c>
      <c r="O3323" s="6" t="s">
        <v>22</v>
      </c>
      <c r="P3323" s="30"/>
    </row>
    <row r="3324" spans="1:16" hidden="1">
      <c r="A3324" s="6" t="s">
        <v>15</v>
      </c>
      <c r="B3324" s="6" t="str">
        <f>"FES11691897"</f>
        <v>FES11691897</v>
      </c>
      <c r="C3324" s="7">
        <v>43612</v>
      </c>
      <c r="D3324" s="6">
        <v>1</v>
      </c>
      <c r="E3324" s="6">
        <v>2170687203</v>
      </c>
      <c r="F3324" s="6" t="s">
        <v>16</v>
      </c>
      <c r="G3324" s="6" t="s">
        <v>17</v>
      </c>
      <c r="H3324" s="6" t="s">
        <v>32</v>
      </c>
      <c r="I3324" s="6" t="s">
        <v>33</v>
      </c>
      <c r="J3324" s="6" t="s">
        <v>1657</v>
      </c>
      <c r="K3324" s="6" t="s">
        <v>1730</v>
      </c>
      <c r="L3324" s="6"/>
      <c r="M3324" s="6" t="s">
        <v>1731</v>
      </c>
      <c r="N3324" s="6" t="s">
        <v>4275</v>
      </c>
      <c r="O3324" s="6" t="s">
        <v>22</v>
      </c>
      <c r="P3324" s="30"/>
    </row>
    <row r="3325" spans="1:16" hidden="1">
      <c r="A3325" s="6" t="s">
        <v>15</v>
      </c>
      <c r="B3325" s="6" t="str">
        <f>"FES1162691957"</f>
        <v>FES1162691957</v>
      </c>
      <c r="C3325" s="7">
        <v>43612</v>
      </c>
      <c r="D3325" s="6">
        <v>1</v>
      </c>
      <c r="E3325" s="6">
        <v>2170690314</v>
      </c>
      <c r="F3325" s="6" t="s">
        <v>16</v>
      </c>
      <c r="G3325" s="6" t="s">
        <v>17</v>
      </c>
      <c r="H3325" s="6" t="s">
        <v>132</v>
      </c>
      <c r="I3325" s="6" t="s">
        <v>1066</v>
      </c>
      <c r="J3325" s="6" t="s">
        <v>1067</v>
      </c>
      <c r="K3325" s="6" t="s">
        <v>1730</v>
      </c>
      <c r="L3325" s="6"/>
      <c r="M3325" s="6" t="s">
        <v>1731</v>
      </c>
      <c r="N3325" s="6" t="s">
        <v>4275</v>
      </c>
      <c r="O3325" s="6" t="s">
        <v>22</v>
      </c>
      <c r="P3325" s="30"/>
    </row>
    <row r="3326" spans="1:16" hidden="1">
      <c r="A3326" s="6" t="s">
        <v>15</v>
      </c>
      <c r="B3326" s="6" t="str">
        <f>"FES1162691990"</f>
        <v>FES1162691990</v>
      </c>
      <c r="C3326" s="7">
        <v>43612</v>
      </c>
      <c r="D3326" s="6">
        <v>1</v>
      </c>
      <c r="E3326" s="6">
        <v>2170690354</v>
      </c>
      <c r="F3326" s="6" t="s">
        <v>16</v>
      </c>
      <c r="G3326" s="6" t="s">
        <v>17</v>
      </c>
      <c r="H3326" s="6" t="s">
        <v>141</v>
      </c>
      <c r="I3326" s="6" t="s">
        <v>448</v>
      </c>
      <c r="J3326" s="6" t="s">
        <v>979</v>
      </c>
      <c r="K3326" s="6" t="s">
        <v>1730</v>
      </c>
      <c r="L3326" s="6"/>
      <c r="M3326" s="6" t="s">
        <v>1731</v>
      </c>
      <c r="N3326" s="6" t="s">
        <v>4275</v>
      </c>
      <c r="O3326" s="6" t="s">
        <v>22</v>
      </c>
      <c r="P3326" s="30"/>
    </row>
    <row r="3327" spans="1:16" hidden="1">
      <c r="A3327" s="6" t="s">
        <v>15</v>
      </c>
      <c r="B3327" s="6" t="str">
        <f>"FES1162691900"</f>
        <v>FES1162691900</v>
      </c>
      <c r="C3327" s="7">
        <v>43612</v>
      </c>
      <c r="D3327" s="6">
        <v>1</v>
      </c>
      <c r="E3327" s="6">
        <v>2170687535</v>
      </c>
      <c r="F3327" s="6" t="s">
        <v>16</v>
      </c>
      <c r="G3327" s="6" t="s">
        <v>17</v>
      </c>
      <c r="H3327" s="6" t="s">
        <v>290</v>
      </c>
      <c r="I3327" s="6" t="s">
        <v>291</v>
      </c>
      <c r="J3327" s="6" t="s">
        <v>709</v>
      </c>
      <c r="K3327" s="6" t="s">
        <v>1730</v>
      </c>
      <c r="L3327" s="6"/>
      <c r="M3327" s="6" t="s">
        <v>1731</v>
      </c>
      <c r="N3327" s="6" t="s">
        <v>4275</v>
      </c>
      <c r="O3327" s="6" t="s">
        <v>22</v>
      </c>
      <c r="P3327" s="30"/>
    </row>
    <row r="3328" spans="1:16" hidden="1">
      <c r="A3328" s="6" t="s">
        <v>15</v>
      </c>
      <c r="B3328" s="6" t="str">
        <f>"FES1162691912"</f>
        <v>FES1162691912</v>
      </c>
      <c r="C3328" s="7">
        <v>43612</v>
      </c>
      <c r="D3328" s="6">
        <v>1</v>
      </c>
      <c r="E3328" s="6">
        <v>2170689654</v>
      </c>
      <c r="F3328" s="6" t="s">
        <v>16</v>
      </c>
      <c r="G3328" s="6" t="s">
        <v>17</v>
      </c>
      <c r="H3328" s="6" t="s">
        <v>290</v>
      </c>
      <c r="I3328" s="6" t="s">
        <v>291</v>
      </c>
      <c r="J3328" s="6" t="s">
        <v>3960</v>
      </c>
      <c r="K3328" s="6" t="s">
        <v>1730</v>
      </c>
      <c r="L3328" s="6"/>
      <c r="M3328" s="6" t="s">
        <v>1731</v>
      </c>
      <c r="N3328" s="6" t="s">
        <v>4275</v>
      </c>
      <c r="O3328" s="6" t="s">
        <v>22</v>
      </c>
      <c r="P3328" s="30"/>
    </row>
    <row r="3329" spans="1:16" hidden="1">
      <c r="A3329" s="6" t="s">
        <v>15</v>
      </c>
      <c r="B3329" s="6" t="str">
        <f>"FES1162691934"</f>
        <v>FES1162691934</v>
      </c>
      <c r="C3329" s="7">
        <v>43612</v>
      </c>
      <c r="D3329" s="6">
        <v>1</v>
      </c>
      <c r="E3329" s="6">
        <v>2170690272</v>
      </c>
      <c r="F3329" s="6" t="s">
        <v>16</v>
      </c>
      <c r="G3329" s="6" t="s">
        <v>17</v>
      </c>
      <c r="H3329" s="6" t="s">
        <v>290</v>
      </c>
      <c r="I3329" s="6" t="s">
        <v>316</v>
      </c>
      <c r="J3329" s="6" t="s">
        <v>284</v>
      </c>
      <c r="K3329" s="6" t="s">
        <v>1730</v>
      </c>
      <c r="L3329" s="6"/>
      <c r="M3329" s="6" t="s">
        <v>1731</v>
      </c>
      <c r="N3329" s="6" t="s">
        <v>4275</v>
      </c>
      <c r="O3329" s="6" t="s">
        <v>22</v>
      </c>
      <c r="P3329" s="30"/>
    </row>
    <row r="3330" spans="1:16" hidden="1">
      <c r="A3330" s="6" t="s">
        <v>15</v>
      </c>
      <c r="B3330" s="6" t="str">
        <f>"FES1162691945"</f>
        <v>FES1162691945</v>
      </c>
      <c r="C3330" s="7">
        <v>43612</v>
      </c>
      <c r="D3330" s="6">
        <v>1</v>
      </c>
      <c r="E3330" s="6">
        <v>2170690300</v>
      </c>
      <c r="F3330" s="6" t="s">
        <v>16</v>
      </c>
      <c r="G3330" s="6" t="s">
        <v>17</v>
      </c>
      <c r="H3330" s="6" t="s">
        <v>141</v>
      </c>
      <c r="I3330" s="6" t="s">
        <v>142</v>
      </c>
      <c r="J3330" s="6" t="s">
        <v>4280</v>
      </c>
      <c r="K3330" s="6" t="s">
        <v>1730</v>
      </c>
      <c r="L3330" s="6"/>
      <c r="M3330" s="6" t="s">
        <v>1731</v>
      </c>
      <c r="N3330" s="6" t="s">
        <v>4275</v>
      </c>
      <c r="O3330" s="6" t="s">
        <v>22</v>
      </c>
      <c r="P3330" s="30"/>
    </row>
    <row r="3331" spans="1:16" hidden="1">
      <c r="A3331" s="6" t="s">
        <v>15</v>
      </c>
      <c r="B3331" s="6" t="str">
        <f>"FES1162692001"</f>
        <v>FES1162692001</v>
      </c>
      <c r="C3331" s="7">
        <v>43612</v>
      </c>
      <c r="D3331" s="6">
        <v>1</v>
      </c>
      <c r="E3331" s="6">
        <v>2170689135</v>
      </c>
      <c r="F3331" s="6" t="s">
        <v>16</v>
      </c>
      <c r="G3331" s="6" t="s">
        <v>17</v>
      </c>
      <c r="H3331" s="6" t="s">
        <v>141</v>
      </c>
      <c r="I3331" s="6" t="s">
        <v>185</v>
      </c>
      <c r="J3331" s="6" t="s">
        <v>4281</v>
      </c>
      <c r="K3331" s="6" t="s">
        <v>1730</v>
      </c>
      <c r="L3331" s="6"/>
      <c r="M3331" s="6" t="s">
        <v>1731</v>
      </c>
      <c r="N3331" s="6" t="s">
        <v>4275</v>
      </c>
      <c r="O3331" s="6" t="s">
        <v>22</v>
      </c>
      <c r="P3331" s="30"/>
    </row>
    <row r="3332" spans="1:16" hidden="1">
      <c r="A3332" s="6" t="s">
        <v>15</v>
      </c>
      <c r="B3332" s="6" t="str">
        <f>"FES1162691736"</f>
        <v>FES1162691736</v>
      </c>
      <c r="C3332" s="7">
        <v>43612</v>
      </c>
      <c r="D3332" s="6">
        <v>1</v>
      </c>
      <c r="E3332" s="6">
        <v>2170690017</v>
      </c>
      <c r="F3332" s="6" t="s">
        <v>16</v>
      </c>
      <c r="G3332" s="6" t="s">
        <v>17</v>
      </c>
      <c r="H3332" s="6" t="s">
        <v>290</v>
      </c>
      <c r="I3332" s="6" t="s">
        <v>309</v>
      </c>
      <c r="J3332" s="6" t="s">
        <v>4282</v>
      </c>
      <c r="K3332" s="6" t="s">
        <v>1730</v>
      </c>
      <c r="L3332" s="6"/>
      <c r="M3332" s="6" t="s">
        <v>1731</v>
      </c>
      <c r="N3332" s="6" t="s">
        <v>4275</v>
      </c>
      <c r="O3332" s="6" t="s">
        <v>22</v>
      </c>
      <c r="P3332" s="30"/>
    </row>
    <row r="3333" spans="1:16" hidden="1">
      <c r="A3333" s="6" t="s">
        <v>15</v>
      </c>
      <c r="B3333" s="6" t="str">
        <f>"FES1162691907"</f>
        <v>FES1162691907</v>
      </c>
      <c r="C3333" s="7">
        <v>43612</v>
      </c>
      <c r="D3333" s="6">
        <v>1</v>
      </c>
      <c r="E3333" s="6">
        <v>2170688524</v>
      </c>
      <c r="F3333" s="6" t="s">
        <v>16</v>
      </c>
      <c r="G3333" s="6" t="s">
        <v>17</v>
      </c>
      <c r="H3333" s="6" t="s">
        <v>290</v>
      </c>
      <c r="I3333" s="6" t="s">
        <v>291</v>
      </c>
      <c r="J3333" s="6" t="s">
        <v>297</v>
      </c>
      <c r="K3333" s="6" t="s">
        <v>1730</v>
      </c>
      <c r="L3333" s="6"/>
      <c r="M3333" s="6" t="s">
        <v>1731</v>
      </c>
      <c r="N3333" s="6" t="s">
        <v>4275</v>
      </c>
      <c r="O3333" s="6" t="s">
        <v>22</v>
      </c>
      <c r="P3333" s="30"/>
    </row>
    <row r="3334" spans="1:16" hidden="1">
      <c r="A3334" s="6" t="s">
        <v>15</v>
      </c>
      <c r="B3334" s="6" t="str">
        <f>"FES1162692010"</f>
        <v>FES1162692010</v>
      </c>
      <c r="C3334" s="7">
        <v>43612</v>
      </c>
      <c r="D3334" s="6">
        <v>1</v>
      </c>
      <c r="E3334" s="6">
        <v>2170609375</v>
      </c>
      <c r="F3334" s="6" t="s">
        <v>16</v>
      </c>
      <c r="G3334" s="6" t="s">
        <v>17</v>
      </c>
      <c r="H3334" s="6" t="s">
        <v>290</v>
      </c>
      <c r="I3334" s="6" t="s">
        <v>291</v>
      </c>
      <c r="J3334" s="6" t="s">
        <v>1744</v>
      </c>
      <c r="K3334" s="6" t="s">
        <v>1730</v>
      </c>
      <c r="L3334" s="6"/>
      <c r="M3334" s="6" t="s">
        <v>1731</v>
      </c>
      <c r="N3334" s="6" t="s">
        <v>4275</v>
      </c>
      <c r="O3334" s="6" t="s">
        <v>22</v>
      </c>
      <c r="P3334" s="30"/>
    </row>
    <row r="3335" spans="1:16" hidden="1">
      <c r="A3335" s="6" t="s">
        <v>15</v>
      </c>
      <c r="B3335" s="6" t="str">
        <f>"FES1162691899"</f>
        <v>FES1162691899</v>
      </c>
      <c r="C3335" s="7">
        <v>43612</v>
      </c>
      <c r="D3335" s="6">
        <v>1</v>
      </c>
      <c r="E3335" s="6">
        <v>2170687393</v>
      </c>
      <c r="F3335" s="6" t="s">
        <v>16</v>
      </c>
      <c r="G3335" s="6" t="s">
        <v>17</v>
      </c>
      <c r="H3335" s="6" t="s">
        <v>32</v>
      </c>
      <c r="I3335" s="6" t="s">
        <v>33</v>
      </c>
      <c r="J3335" s="6" t="s">
        <v>1438</v>
      </c>
      <c r="K3335" s="6" t="s">
        <v>1730</v>
      </c>
      <c r="L3335" s="6"/>
      <c r="M3335" s="6" t="s">
        <v>1731</v>
      </c>
      <c r="N3335" s="6" t="s">
        <v>4275</v>
      </c>
      <c r="O3335" s="6" t="s">
        <v>22</v>
      </c>
      <c r="P3335" s="30"/>
    </row>
    <row r="3336" spans="1:16" hidden="1">
      <c r="A3336" s="6" t="s">
        <v>15</v>
      </c>
      <c r="B3336" s="6" t="str">
        <f>"FES1162691939"</f>
        <v>FES1162691939</v>
      </c>
      <c r="C3336" s="7">
        <v>43612</v>
      </c>
      <c r="D3336" s="6">
        <v>1</v>
      </c>
      <c r="E3336" s="6">
        <v>2170690286</v>
      </c>
      <c r="F3336" s="6" t="s">
        <v>16</v>
      </c>
      <c r="G3336" s="6" t="s">
        <v>17</v>
      </c>
      <c r="H3336" s="6" t="s">
        <v>43</v>
      </c>
      <c r="I3336" s="6" t="s">
        <v>44</v>
      </c>
      <c r="J3336" s="6" t="s">
        <v>336</v>
      </c>
      <c r="K3336" s="6" t="s">
        <v>1730</v>
      </c>
      <c r="L3336" s="6"/>
      <c r="M3336" s="6" t="s">
        <v>1731</v>
      </c>
      <c r="N3336" s="6" t="s">
        <v>4275</v>
      </c>
      <c r="O3336" s="6" t="s">
        <v>22</v>
      </c>
      <c r="P3336" s="30"/>
    </row>
    <row r="3337" spans="1:16" hidden="1">
      <c r="A3337" s="6" t="s">
        <v>15</v>
      </c>
      <c r="B3337" s="6" t="str">
        <f>"FES1162691909"</f>
        <v>FES1162691909</v>
      </c>
      <c r="C3337" s="7">
        <v>43612</v>
      </c>
      <c r="D3337" s="6">
        <v>1</v>
      </c>
      <c r="E3337" s="6">
        <v>2170689310</v>
      </c>
      <c r="F3337" s="6" t="s">
        <v>16</v>
      </c>
      <c r="G3337" s="6" t="s">
        <v>17</v>
      </c>
      <c r="H3337" s="6" t="s">
        <v>43</v>
      </c>
      <c r="I3337" s="6" t="s">
        <v>44</v>
      </c>
      <c r="J3337" s="6" t="s">
        <v>4283</v>
      </c>
      <c r="K3337" s="6" t="s">
        <v>1730</v>
      </c>
      <c r="L3337" s="6"/>
      <c r="M3337" s="6" t="s">
        <v>1731</v>
      </c>
      <c r="N3337" s="6" t="s">
        <v>4275</v>
      </c>
      <c r="O3337" s="6" t="s">
        <v>22</v>
      </c>
      <c r="P3337" s="30"/>
    </row>
    <row r="3338" spans="1:16" hidden="1">
      <c r="A3338" s="6" t="s">
        <v>15</v>
      </c>
      <c r="B3338" s="6" t="str">
        <f>"FES1162691938"</f>
        <v>FES1162691938</v>
      </c>
      <c r="C3338" s="7">
        <v>43612</v>
      </c>
      <c r="D3338" s="6">
        <v>1</v>
      </c>
      <c r="E3338" s="6">
        <v>2170690280</v>
      </c>
      <c r="F3338" s="6" t="s">
        <v>16</v>
      </c>
      <c r="G3338" s="6" t="s">
        <v>17</v>
      </c>
      <c r="H3338" s="6" t="s">
        <v>32</v>
      </c>
      <c r="I3338" s="6" t="s">
        <v>33</v>
      </c>
      <c r="J3338" s="6" t="s">
        <v>357</v>
      </c>
      <c r="K3338" s="6" t="s">
        <v>1730</v>
      </c>
      <c r="L3338" s="6"/>
      <c r="M3338" s="6" t="s">
        <v>1731</v>
      </c>
      <c r="N3338" s="6" t="s">
        <v>4275</v>
      </c>
      <c r="O3338" s="6" t="s">
        <v>22</v>
      </c>
      <c r="P3338" s="30"/>
    </row>
    <row r="3339" spans="1:16" hidden="1">
      <c r="A3339" s="6" t="s">
        <v>15</v>
      </c>
      <c r="B3339" s="6" t="str">
        <f>"FES1162691937"</f>
        <v>FES1162691937</v>
      </c>
      <c r="C3339" s="7">
        <v>43612</v>
      </c>
      <c r="D3339" s="6">
        <v>1</v>
      </c>
      <c r="E3339" s="6">
        <v>2170690279</v>
      </c>
      <c r="F3339" s="6" t="s">
        <v>16</v>
      </c>
      <c r="G3339" s="6" t="s">
        <v>17</v>
      </c>
      <c r="H3339" s="6" t="s">
        <v>32</v>
      </c>
      <c r="I3339" s="6" t="s">
        <v>33</v>
      </c>
      <c r="J3339" s="6" t="s">
        <v>357</v>
      </c>
      <c r="K3339" s="6" t="s">
        <v>1730</v>
      </c>
      <c r="L3339" s="6"/>
      <c r="M3339" s="6" t="s">
        <v>1731</v>
      </c>
      <c r="N3339" s="6" t="s">
        <v>4275</v>
      </c>
      <c r="O3339" s="6" t="s">
        <v>22</v>
      </c>
      <c r="P3339" s="30"/>
    </row>
    <row r="3340" spans="1:16" hidden="1">
      <c r="A3340" s="6" t="s">
        <v>15</v>
      </c>
      <c r="B3340" s="6" t="str">
        <f>"FES1162691952"</f>
        <v>FES1162691952</v>
      </c>
      <c r="C3340" s="7">
        <v>43612</v>
      </c>
      <c r="D3340" s="6">
        <v>1</v>
      </c>
      <c r="E3340" s="6">
        <v>2170690305</v>
      </c>
      <c r="F3340" s="6" t="s">
        <v>16</v>
      </c>
      <c r="G3340" s="6" t="s">
        <v>17</v>
      </c>
      <c r="H3340" s="6" t="s">
        <v>32</v>
      </c>
      <c r="I3340" s="6" t="s">
        <v>342</v>
      </c>
      <c r="J3340" s="6" t="s">
        <v>726</v>
      </c>
      <c r="K3340" s="6" t="s">
        <v>1730</v>
      </c>
      <c r="L3340" s="6"/>
      <c r="M3340" s="6" t="s">
        <v>1731</v>
      </c>
      <c r="N3340" s="6" t="s">
        <v>4275</v>
      </c>
      <c r="O3340" s="6" t="s">
        <v>22</v>
      </c>
      <c r="P3340" s="30"/>
    </row>
    <row r="3341" spans="1:16" hidden="1">
      <c r="A3341" s="6" t="s">
        <v>15</v>
      </c>
      <c r="B3341" s="6" t="str">
        <f>"FES1162692024"</f>
        <v>FES1162692024</v>
      </c>
      <c r="C3341" s="7">
        <v>43612</v>
      </c>
      <c r="D3341" s="6">
        <v>1</v>
      </c>
      <c r="E3341" s="6">
        <v>2170685776</v>
      </c>
      <c r="F3341" s="6" t="s">
        <v>16</v>
      </c>
      <c r="G3341" s="6" t="s">
        <v>17</v>
      </c>
      <c r="H3341" s="6" t="s">
        <v>141</v>
      </c>
      <c r="I3341" s="6" t="s">
        <v>185</v>
      </c>
      <c r="J3341" s="6" t="s">
        <v>503</v>
      </c>
      <c r="K3341" s="6" t="s">
        <v>1730</v>
      </c>
      <c r="L3341" s="6"/>
      <c r="M3341" s="6" t="s">
        <v>1731</v>
      </c>
      <c r="N3341" s="6" t="s">
        <v>4275</v>
      </c>
      <c r="O3341" s="6" t="s">
        <v>22</v>
      </c>
      <c r="P3341" s="30"/>
    </row>
    <row r="3342" spans="1:16" hidden="1">
      <c r="A3342" s="6" t="s">
        <v>15</v>
      </c>
      <c r="B3342" s="6" t="str">
        <f>"FES1162692013"</f>
        <v>FES1162692013</v>
      </c>
      <c r="C3342" s="7">
        <v>43612</v>
      </c>
      <c r="D3342" s="6">
        <v>1</v>
      </c>
      <c r="E3342" s="6">
        <v>2170690379</v>
      </c>
      <c r="F3342" s="6" t="s">
        <v>16</v>
      </c>
      <c r="G3342" s="6" t="s">
        <v>17</v>
      </c>
      <c r="H3342" s="6" t="s">
        <v>141</v>
      </c>
      <c r="I3342" s="6" t="s">
        <v>142</v>
      </c>
      <c r="J3342" s="6" t="s">
        <v>864</v>
      </c>
      <c r="K3342" s="6" t="s">
        <v>1730</v>
      </c>
      <c r="L3342" s="6"/>
      <c r="M3342" s="6" t="s">
        <v>1731</v>
      </c>
      <c r="N3342" s="6" t="s">
        <v>4275</v>
      </c>
      <c r="O3342" s="6" t="s">
        <v>22</v>
      </c>
      <c r="P3342" s="30"/>
    </row>
    <row r="3343" spans="1:16" hidden="1">
      <c r="A3343" s="6" t="s">
        <v>15</v>
      </c>
      <c r="B3343" s="6" t="str">
        <f>"FES1162692015"</f>
        <v>FES1162692015</v>
      </c>
      <c r="C3343" s="7">
        <v>43612</v>
      </c>
      <c r="D3343" s="6">
        <v>1</v>
      </c>
      <c r="E3343" s="6">
        <v>2170686501</v>
      </c>
      <c r="F3343" s="6" t="s">
        <v>16</v>
      </c>
      <c r="G3343" s="6" t="s">
        <v>17</v>
      </c>
      <c r="H3343" s="6" t="s">
        <v>43</v>
      </c>
      <c r="I3343" s="6" t="s">
        <v>44</v>
      </c>
      <c r="J3343" s="6" t="s">
        <v>128</v>
      </c>
      <c r="K3343" s="6" t="s">
        <v>1730</v>
      </c>
      <c r="L3343" s="6"/>
      <c r="M3343" s="6" t="s">
        <v>1731</v>
      </c>
      <c r="N3343" s="6" t="s">
        <v>4275</v>
      </c>
      <c r="O3343" s="6" t="s">
        <v>22</v>
      </c>
      <c r="P3343" s="30"/>
    </row>
    <row r="3344" spans="1:16" hidden="1">
      <c r="A3344" s="6" t="s">
        <v>15</v>
      </c>
      <c r="B3344" s="6" t="str">
        <f>"FES1162691973"</f>
        <v>FES1162691973</v>
      </c>
      <c r="C3344" s="7">
        <v>43612</v>
      </c>
      <c r="D3344" s="6">
        <v>1</v>
      </c>
      <c r="E3344" s="6">
        <v>2170690335</v>
      </c>
      <c r="F3344" s="6" t="s">
        <v>16</v>
      </c>
      <c r="G3344" s="6" t="s">
        <v>17</v>
      </c>
      <c r="H3344" s="6" t="s">
        <v>43</v>
      </c>
      <c r="I3344" s="6" t="s">
        <v>75</v>
      </c>
      <c r="J3344" s="6" t="s">
        <v>1089</v>
      </c>
      <c r="K3344" s="6" t="s">
        <v>1730</v>
      </c>
      <c r="L3344" s="6"/>
      <c r="M3344" s="6" t="s">
        <v>1731</v>
      </c>
      <c r="N3344" s="6" t="s">
        <v>4275</v>
      </c>
      <c r="O3344" s="6" t="s">
        <v>22</v>
      </c>
      <c r="P3344" s="30"/>
    </row>
    <row r="3345" spans="1:16" hidden="1">
      <c r="A3345" s="6" t="s">
        <v>15</v>
      </c>
      <c r="B3345" s="6" t="str">
        <f>"FES1162692004"</f>
        <v>FES1162692004</v>
      </c>
      <c r="C3345" s="7">
        <v>43612</v>
      </c>
      <c r="D3345" s="6">
        <v>1</v>
      </c>
      <c r="E3345" s="6">
        <v>2170690368</v>
      </c>
      <c r="F3345" s="6" t="s">
        <v>16</v>
      </c>
      <c r="G3345" s="6" t="s">
        <v>17</v>
      </c>
      <c r="H3345" s="6" t="s">
        <v>43</v>
      </c>
      <c r="I3345" s="6" t="s">
        <v>44</v>
      </c>
      <c r="J3345" s="6" t="s">
        <v>48</v>
      </c>
      <c r="K3345" s="7">
        <v>43613</v>
      </c>
      <c r="L3345" s="8">
        <v>0.32500000000000001</v>
      </c>
      <c r="M3345" s="6" t="s">
        <v>1650</v>
      </c>
      <c r="N3345" s="6" t="s">
        <v>21</v>
      </c>
      <c r="O3345" s="6" t="s">
        <v>22</v>
      </c>
      <c r="P3345" s="30"/>
    </row>
    <row r="3346" spans="1:16" hidden="1">
      <c r="A3346" s="6" t="s">
        <v>15</v>
      </c>
      <c r="B3346" s="6" t="str">
        <f>"FES1162691989"</f>
        <v>FES1162691989</v>
      </c>
      <c r="C3346" s="7">
        <v>43612</v>
      </c>
      <c r="D3346" s="6">
        <v>1</v>
      </c>
      <c r="E3346" s="6">
        <v>2170690353</v>
      </c>
      <c r="F3346" s="6" t="s">
        <v>16</v>
      </c>
      <c r="G3346" s="6" t="s">
        <v>17</v>
      </c>
      <c r="H3346" s="6" t="s">
        <v>43</v>
      </c>
      <c r="I3346" s="6" t="s">
        <v>44</v>
      </c>
      <c r="J3346" s="6" t="s">
        <v>236</v>
      </c>
      <c r="K3346" s="6" t="s">
        <v>1730</v>
      </c>
      <c r="L3346" s="6"/>
      <c r="M3346" s="6" t="s">
        <v>1731</v>
      </c>
      <c r="N3346" s="6" t="s">
        <v>4275</v>
      </c>
      <c r="O3346" s="6" t="s">
        <v>22</v>
      </c>
      <c r="P3346" s="30"/>
    </row>
    <row r="3347" spans="1:16" hidden="1">
      <c r="A3347" s="6" t="s">
        <v>15</v>
      </c>
      <c r="B3347" s="6" t="str">
        <f>"FES1162691998"</f>
        <v>FES1162691998</v>
      </c>
      <c r="C3347" s="7">
        <v>43612</v>
      </c>
      <c r="D3347" s="6">
        <v>1</v>
      </c>
      <c r="E3347" s="6">
        <v>2170690364</v>
      </c>
      <c r="F3347" s="6" t="s">
        <v>16</v>
      </c>
      <c r="G3347" s="6" t="s">
        <v>17</v>
      </c>
      <c r="H3347" s="6" t="s">
        <v>43</v>
      </c>
      <c r="I3347" s="6" t="s">
        <v>75</v>
      </c>
      <c r="J3347" s="6" t="s">
        <v>811</v>
      </c>
      <c r="K3347" s="6" t="s">
        <v>1730</v>
      </c>
      <c r="L3347" s="6"/>
      <c r="M3347" s="6" t="s">
        <v>1731</v>
      </c>
      <c r="N3347" s="6" t="s">
        <v>4275</v>
      </c>
      <c r="O3347" s="6" t="s">
        <v>22</v>
      </c>
      <c r="P3347" s="30"/>
    </row>
    <row r="3348" spans="1:16" hidden="1">
      <c r="A3348" s="6" t="s">
        <v>15</v>
      </c>
      <c r="B3348" s="6" t="str">
        <f>"FES1162692028"</f>
        <v>FES1162692028</v>
      </c>
      <c r="C3348" s="7">
        <v>43612</v>
      </c>
      <c r="D3348" s="6">
        <v>1</v>
      </c>
      <c r="E3348" s="6">
        <v>2170690403</v>
      </c>
      <c r="F3348" s="6" t="s">
        <v>16</v>
      </c>
      <c r="G3348" s="6" t="s">
        <v>17</v>
      </c>
      <c r="H3348" s="6" t="s">
        <v>141</v>
      </c>
      <c r="I3348" s="6" t="s">
        <v>142</v>
      </c>
      <c r="J3348" s="6" t="s">
        <v>2157</v>
      </c>
      <c r="K3348" s="6" t="s">
        <v>1730</v>
      </c>
      <c r="L3348" s="6"/>
      <c r="M3348" s="6" t="s">
        <v>1731</v>
      </c>
      <c r="N3348" s="6" t="s">
        <v>4275</v>
      </c>
      <c r="O3348" s="6" t="s">
        <v>22</v>
      </c>
      <c r="P3348" s="30"/>
    </row>
    <row r="3349" spans="1:16" hidden="1">
      <c r="A3349" s="6" t="s">
        <v>15</v>
      </c>
      <c r="B3349" s="6" t="str">
        <f>"FES1162691972"</f>
        <v>FES1162691972</v>
      </c>
      <c r="C3349" s="7">
        <v>43612</v>
      </c>
      <c r="D3349" s="6">
        <v>1</v>
      </c>
      <c r="E3349" s="6">
        <v>2170690333</v>
      </c>
      <c r="F3349" s="6" t="s">
        <v>16</v>
      </c>
      <c r="G3349" s="6" t="s">
        <v>17</v>
      </c>
      <c r="H3349" s="6" t="s">
        <v>43</v>
      </c>
      <c r="I3349" s="6" t="s">
        <v>75</v>
      </c>
      <c r="J3349" s="6" t="s">
        <v>4284</v>
      </c>
      <c r="K3349" s="6" t="s">
        <v>1730</v>
      </c>
      <c r="L3349" s="6"/>
      <c r="M3349" s="6" t="s">
        <v>1731</v>
      </c>
      <c r="N3349" s="6" t="s">
        <v>4275</v>
      </c>
      <c r="O3349" s="6" t="s">
        <v>22</v>
      </c>
      <c r="P3349" s="30"/>
    </row>
    <row r="3350" spans="1:16" hidden="1">
      <c r="A3350" s="6" t="s">
        <v>15</v>
      </c>
      <c r="B3350" s="6" t="str">
        <f>"FES1162691967"</f>
        <v>FES1162691967</v>
      </c>
      <c r="C3350" s="7">
        <v>43612</v>
      </c>
      <c r="D3350" s="6">
        <v>1</v>
      </c>
      <c r="E3350" s="6">
        <v>2170690325</v>
      </c>
      <c r="F3350" s="6" t="s">
        <v>16</v>
      </c>
      <c r="G3350" s="6" t="s">
        <v>17</v>
      </c>
      <c r="H3350" s="6" t="s">
        <v>43</v>
      </c>
      <c r="I3350" s="6" t="s">
        <v>44</v>
      </c>
      <c r="J3350" s="6" t="s">
        <v>336</v>
      </c>
      <c r="K3350" s="6" t="s">
        <v>1730</v>
      </c>
      <c r="L3350" s="6"/>
      <c r="M3350" s="6" t="s">
        <v>1731</v>
      </c>
      <c r="N3350" s="6" t="s">
        <v>4275</v>
      </c>
      <c r="O3350" s="6" t="s">
        <v>22</v>
      </c>
      <c r="P3350" s="30"/>
    </row>
    <row r="3351" spans="1:16" hidden="1">
      <c r="A3351" s="6" t="s">
        <v>15</v>
      </c>
      <c r="B3351" s="6" t="str">
        <f>"FES1162692017"</f>
        <v>FES1162692017</v>
      </c>
      <c r="C3351" s="7">
        <v>43612</v>
      </c>
      <c r="D3351" s="6">
        <v>1</v>
      </c>
      <c r="E3351" s="6">
        <v>2170690382</v>
      </c>
      <c r="F3351" s="6" t="s">
        <v>16</v>
      </c>
      <c r="G3351" s="6" t="s">
        <v>17</v>
      </c>
      <c r="H3351" s="6" t="s">
        <v>1055</v>
      </c>
      <c r="I3351" s="6" t="s">
        <v>2050</v>
      </c>
      <c r="J3351" s="6" t="s">
        <v>2051</v>
      </c>
      <c r="K3351" s="6" t="s">
        <v>1730</v>
      </c>
      <c r="L3351" s="6"/>
      <c r="M3351" s="6" t="s">
        <v>1731</v>
      </c>
      <c r="N3351" s="6" t="s">
        <v>4275</v>
      </c>
      <c r="O3351" s="6" t="s">
        <v>22</v>
      </c>
      <c r="P3351" s="30"/>
    </row>
    <row r="3352" spans="1:16" hidden="1">
      <c r="A3352" s="6" t="s">
        <v>15</v>
      </c>
      <c r="B3352" s="6" t="str">
        <f>"FES1162692016"</f>
        <v>FES1162692016</v>
      </c>
      <c r="C3352" s="7">
        <v>43612</v>
      </c>
      <c r="D3352" s="6">
        <v>1</v>
      </c>
      <c r="E3352" s="6">
        <v>2170690381</v>
      </c>
      <c r="F3352" s="6" t="s">
        <v>16</v>
      </c>
      <c r="G3352" s="6" t="s">
        <v>17</v>
      </c>
      <c r="H3352" s="6" t="s">
        <v>1055</v>
      </c>
      <c r="I3352" s="6" t="s">
        <v>2050</v>
      </c>
      <c r="J3352" s="6" t="s">
        <v>2051</v>
      </c>
      <c r="K3352" s="6" t="s">
        <v>1730</v>
      </c>
      <c r="L3352" s="6"/>
      <c r="M3352" s="6" t="s">
        <v>1731</v>
      </c>
      <c r="N3352" s="6" t="s">
        <v>4275</v>
      </c>
      <c r="O3352" s="6" t="s">
        <v>22</v>
      </c>
      <c r="P3352" s="30"/>
    </row>
    <row r="3353" spans="1:16" hidden="1">
      <c r="A3353" s="6" t="s">
        <v>15</v>
      </c>
      <c r="B3353" s="6" t="str">
        <f>"FES1162692020"</f>
        <v>FES1162692020</v>
      </c>
      <c r="C3353" s="7">
        <v>43612</v>
      </c>
      <c r="D3353" s="6">
        <v>1</v>
      </c>
      <c r="E3353" s="6">
        <v>2170690393</v>
      </c>
      <c r="F3353" s="6" t="s">
        <v>16</v>
      </c>
      <c r="G3353" s="6" t="s">
        <v>17</v>
      </c>
      <c r="H3353" s="6" t="s">
        <v>121</v>
      </c>
      <c r="I3353" s="6" t="s">
        <v>122</v>
      </c>
      <c r="J3353" s="6" t="s">
        <v>123</v>
      </c>
      <c r="K3353" s="6" t="s">
        <v>1730</v>
      </c>
      <c r="L3353" s="6"/>
      <c r="M3353" s="6" t="s">
        <v>1731</v>
      </c>
      <c r="N3353" s="6" t="s">
        <v>4275</v>
      </c>
      <c r="O3353" s="6" t="s">
        <v>22</v>
      </c>
      <c r="P3353" s="30"/>
    </row>
    <row r="3354" spans="1:16" hidden="1">
      <c r="A3354" s="6" t="s">
        <v>15</v>
      </c>
      <c r="B3354" s="6" t="str">
        <f>"FES1162692021"</f>
        <v>FES1162692021</v>
      </c>
      <c r="C3354" s="7">
        <v>43612</v>
      </c>
      <c r="D3354" s="6">
        <v>1</v>
      </c>
      <c r="E3354" s="6">
        <v>2170690394</v>
      </c>
      <c r="F3354" s="6" t="s">
        <v>16</v>
      </c>
      <c r="G3354" s="6" t="s">
        <v>17</v>
      </c>
      <c r="H3354" s="6" t="s">
        <v>141</v>
      </c>
      <c r="I3354" s="6" t="s">
        <v>142</v>
      </c>
      <c r="J3354" s="6" t="s">
        <v>627</v>
      </c>
      <c r="K3354" s="6" t="s">
        <v>1730</v>
      </c>
      <c r="L3354" s="6"/>
      <c r="M3354" s="6" t="s">
        <v>1731</v>
      </c>
      <c r="N3354" s="6" t="s">
        <v>4275</v>
      </c>
      <c r="O3354" s="6" t="s">
        <v>22</v>
      </c>
      <c r="P3354" s="30"/>
    </row>
    <row r="3355" spans="1:16" hidden="1">
      <c r="A3355" s="6" t="s">
        <v>15</v>
      </c>
      <c r="B3355" s="6" t="str">
        <f>"FES1162692037"</f>
        <v>FES1162692037</v>
      </c>
      <c r="C3355" s="7">
        <v>43612</v>
      </c>
      <c r="D3355" s="6">
        <v>1</v>
      </c>
      <c r="E3355" s="6" t="s">
        <v>4285</v>
      </c>
      <c r="F3355" s="6" t="s">
        <v>16</v>
      </c>
      <c r="G3355" s="6" t="s">
        <v>17</v>
      </c>
      <c r="H3355" s="6" t="s">
        <v>37</v>
      </c>
      <c r="I3355" s="6" t="s">
        <v>38</v>
      </c>
      <c r="J3355" s="6" t="s">
        <v>1429</v>
      </c>
      <c r="K3355" s="6" t="s">
        <v>1730</v>
      </c>
      <c r="L3355" s="6"/>
      <c r="M3355" s="6" t="s">
        <v>1731</v>
      </c>
      <c r="N3355" s="6" t="s">
        <v>4275</v>
      </c>
      <c r="O3355" s="6" t="s">
        <v>22</v>
      </c>
      <c r="P3355" s="30"/>
    </row>
    <row r="3356" spans="1:16" hidden="1">
      <c r="A3356" s="6" t="s">
        <v>15</v>
      </c>
      <c r="B3356" s="6" t="str">
        <f>"FES1162692035"</f>
        <v>FES1162692035</v>
      </c>
      <c r="C3356" s="7">
        <v>43612</v>
      </c>
      <c r="D3356" s="6">
        <v>1</v>
      </c>
      <c r="E3356" s="6">
        <v>2170609413</v>
      </c>
      <c r="F3356" s="6" t="s">
        <v>16</v>
      </c>
      <c r="G3356" s="6" t="s">
        <v>17</v>
      </c>
      <c r="H3356" s="6" t="s">
        <v>37</v>
      </c>
      <c r="I3356" s="6" t="s">
        <v>38</v>
      </c>
      <c r="J3356" s="6" t="s">
        <v>1429</v>
      </c>
      <c r="K3356" s="6" t="s">
        <v>1730</v>
      </c>
      <c r="L3356" s="6"/>
      <c r="M3356" s="6" t="s">
        <v>1731</v>
      </c>
      <c r="N3356" s="6" t="s">
        <v>4275</v>
      </c>
      <c r="O3356" s="6" t="s">
        <v>22</v>
      </c>
      <c r="P3356" s="30"/>
    </row>
    <row r="3357" spans="1:16" hidden="1">
      <c r="A3357" s="6" t="s">
        <v>15</v>
      </c>
      <c r="B3357" s="6" t="str">
        <f>"FES1162691884"</f>
        <v>FES1162691884</v>
      </c>
      <c r="C3357" s="7">
        <v>43612</v>
      </c>
      <c r="D3357" s="6">
        <v>1</v>
      </c>
      <c r="E3357" s="6">
        <v>2170683334</v>
      </c>
      <c r="F3357" s="6" t="s">
        <v>16</v>
      </c>
      <c r="G3357" s="6" t="s">
        <v>17</v>
      </c>
      <c r="H3357" s="6" t="s">
        <v>141</v>
      </c>
      <c r="I3357" s="6" t="s">
        <v>142</v>
      </c>
      <c r="J3357" s="6" t="s">
        <v>195</v>
      </c>
      <c r="K3357" s="6" t="s">
        <v>1730</v>
      </c>
      <c r="L3357" s="6"/>
      <c r="M3357" s="6" t="s">
        <v>1731</v>
      </c>
      <c r="N3357" s="6" t="s">
        <v>4275</v>
      </c>
      <c r="O3357" s="6" t="s">
        <v>22</v>
      </c>
      <c r="P3357" s="30"/>
    </row>
    <row r="3358" spans="1:16" hidden="1">
      <c r="A3358" s="6" t="s">
        <v>15</v>
      </c>
      <c r="B3358" s="6" t="str">
        <f>"FES1162691885"</f>
        <v>FES1162691885</v>
      </c>
      <c r="C3358" s="7">
        <v>43612</v>
      </c>
      <c r="D3358" s="6">
        <v>1</v>
      </c>
      <c r="E3358" s="6">
        <v>2170683335</v>
      </c>
      <c r="F3358" s="6" t="s">
        <v>16</v>
      </c>
      <c r="G3358" s="6" t="s">
        <v>17</v>
      </c>
      <c r="H3358" s="6" t="s">
        <v>141</v>
      </c>
      <c r="I3358" s="6" t="s">
        <v>142</v>
      </c>
      <c r="J3358" s="6" t="s">
        <v>195</v>
      </c>
      <c r="K3358" s="6" t="s">
        <v>1730</v>
      </c>
      <c r="L3358" s="6"/>
      <c r="M3358" s="6" t="s">
        <v>1731</v>
      </c>
      <c r="N3358" s="6" t="s">
        <v>4275</v>
      </c>
      <c r="O3358" s="6" t="s">
        <v>22</v>
      </c>
      <c r="P3358" s="30"/>
    </row>
    <row r="3359" spans="1:16" hidden="1">
      <c r="A3359" s="6" t="s">
        <v>15</v>
      </c>
      <c r="B3359" s="6" t="str">
        <f>"FES1162691944"</f>
        <v>FES1162691944</v>
      </c>
      <c r="C3359" s="7">
        <v>43612</v>
      </c>
      <c r="D3359" s="6">
        <v>1</v>
      </c>
      <c r="E3359" s="6">
        <v>2170690295</v>
      </c>
      <c r="F3359" s="6" t="s">
        <v>4286</v>
      </c>
      <c r="G3359" s="6" t="s">
        <v>17</v>
      </c>
      <c r="H3359" s="6" t="s">
        <v>32</v>
      </c>
      <c r="I3359" s="6" t="s">
        <v>269</v>
      </c>
      <c r="J3359" s="6" t="s">
        <v>1568</v>
      </c>
      <c r="K3359" s="6" t="s">
        <v>1730</v>
      </c>
      <c r="L3359" s="6"/>
      <c r="M3359" s="6" t="s">
        <v>1731</v>
      </c>
      <c r="N3359" s="6" t="s">
        <v>4275</v>
      </c>
      <c r="O3359" s="6" t="s">
        <v>494</v>
      </c>
      <c r="P3359" s="30"/>
    </row>
    <row r="3360" spans="1:16" hidden="1">
      <c r="A3360" s="6" t="s">
        <v>15</v>
      </c>
      <c r="B3360" s="6" t="str">
        <f>"FES1162692069"</f>
        <v>FES1162692069</v>
      </c>
      <c r="C3360" s="7">
        <v>43612</v>
      </c>
      <c r="D3360" s="6">
        <v>1</v>
      </c>
      <c r="E3360" s="6">
        <v>2170689747</v>
      </c>
      <c r="F3360" s="6" t="s">
        <v>16</v>
      </c>
      <c r="G3360" s="6" t="s">
        <v>17</v>
      </c>
      <c r="H3360" s="6" t="s">
        <v>32</v>
      </c>
      <c r="I3360" s="6" t="s">
        <v>33</v>
      </c>
      <c r="J3360" s="6" t="s">
        <v>3967</v>
      </c>
      <c r="K3360" s="6" t="s">
        <v>1730</v>
      </c>
      <c r="L3360" s="6"/>
      <c r="M3360" s="6" t="s">
        <v>1731</v>
      </c>
      <c r="N3360" s="6" t="s">
        <v>4275</v>
      </c>
      <c r="O3360" s="6" t="s">
        <v>22</v>
      </c>
      <c r="P3360" s="30"/>
    </row>
    <row r="3361" spans="1:16" hidden="1">
      <c r="A3361" s="6" t="s">
        <v>15</v>
      </c>
      <c r="B3361" s="6" t="str">
        <f>"FES1162692051"</f>
        <v>FES1162692051</v>
      </c>
      <c r="C3361" s="7">
        <v>43612</v>
      </c>
      <c r="D3361" s="6">
        <v>1</v>
      </c>
      <c r="E3361" s="6">
        <v>2170690437</v>
      </c>
      <c r="F3361" s="6" t="s">
        <v>16</v>
      </c>
      <c r="G3361" s="6" t="s">
        <v>17</v>
      </c>
      <c r="H3361" s="6" t="s">
        <v>32</v>
      </c>
      <c r="I3361" s="6" t="s">
        <v>1207</v>
      </c>
      <c r="J3361" s="6" t="s">
        <v>1208</v>
      </c>
      <c r="K3361" s="6" t="s">
        <v>1730</v>
      </c>
      <c r="L3361" s="6"/>
      <c r="M3361" s="6" t="s">
        <v>1731</v>
      </c>
      <c r="N3361" s="6" t="s">
        <v>4275</v>
      </c>
      <c r="O3361" s="6" t="s">
        <v>22</v>
      </c>
      <c r="P3361" s="30"/>
    </row>
    <row r="3362" spans="1:16" hidden="1">
      <c r="A3362" s="6" t="s">
        <v>15</v>
      </c>
      <c r="B3362" s="6" t="str">
        <f>"FES1162692008"</f>
        <v>FES1162692008</v>
      </c>
      <c r="C3362" s="7">
        <v>43612</v>
      </c>
      <c r="D3362" s="6">
        <v>1</v>
      </c>
      <c r="E3362" s="6">
        <v>2170690085</v>
      </c>
      <c r="F3362" s="6" t="s">
        <v>16</v>
      </c>
      <c r="G3362" s="6" t="s">
        <v>17</v>
      </c>
      <c r="H3362" s="6" t="s">
        <v>32</v>
      </c>
      <c r="I3362" s="6" t="s">
        <v>33</v>
      </c>
      <c r="J3362" s="6" t="s">
        <v>832</v>
      </c>
      <c r="K3362" s="6" t="s">
        <v>1730</v>
      </c>
      <c r="L3362" s="6"/>
      <c r="M3362" s="6" t="s">
        <v>1731</v>
      </c>
      <c r="N3362" s="6" t="s">
        <v>4275</v>
      </c>
      <c r="O3362" s="6" t="s">
        <v>22</v>
      </c>
      <c r="P3362" s="30"/>
    </row>
    <row r="3363" spans="1:16" hidden="1">
      <c r="A3363" s="6" t="s">
        <v>15</v>
      </c>
      <c r="B3363" s="6" t="str">
        <f>"FES1162692049"</f>
        <v>FES1162692049</v>
      </c>
      <c r="C3363" s="7">
        <v>43612</v>
      </c>
      <c r="D3363" s="6">
        <v>1</v>
      </c>
      <c r="E3363" s="6">
        <v>2170685942</v>
      </c>
      <c r="F3363" s="6" t="s">
        <v>4286</v>
      </c>
      <c r="G3363" s="6" t="s">
        <v>17</v>
      </c>
      <c r="H3363" s="6" t="s">
        <v>43</v>
      </c>
      <c r="I3363" s="6" t="s">
        <v>54</v>
      </c>
      <c r="J3363" s="6" t="s">
        <v>216</v>
      </c>
      <c r="K3363" s="6" t="s">
        <v>1730</v>
      </c>
      <c r="L3363" s="6"/>
      <c r="M3363" s="6" t="s">
        <v>1731</v>
      </c>
      <c r="N3363" s="6" t="s">
        <v>4275</v>
      </c>
      <c r="O3363" s="6" t="s">
        <v>22</v>
      </c>
      <c r="P3363" s="30"/>
    </row>
    <row r="3364" spans="1:16" hidden="1">
      <c r="A3364" s="6" t="s">
        <v>15</v>
      </c>
      <c r="B3364" s="6" t="str">
        <f>"FES1162692055"</f>
        <v>FES1162692055</v>
      </c>
      <c r="C3364" s="7">
        <v>43612</v>
      </c>
      <c r="D3364" s="6">
        <v>1</v>
      </c>
      <c r="E3364" s="6">
        <v>2170690443</v>
      </c>
      <c r="F3364" s="6" t="s">
        <v>16</v>
      </c>
      <c r="G3364" s="6" t="s">
        <v>17</v>
      </c>
      <c r="H3364" s="6" t="s">
        <v>290</v>
      </c>
      <c r="I3364" s="6" t="s">
        <v>291</v>
      </c>
      <c r="J3364" s="6" t="s">
        <v>4287</v>
      </c>
      <c r="K3364" s="6" t="s">
        <v>1730</v>
      </c>
      <c r="L3364" s="6"/>
      <c r="M3364" s="6" t="s">
        <v>1731</v>
      </c>
      <c r="N3364" s="6" t="s">
        <v>4275</v>
      </c>
      <c r="O3364" s="6" t="s">
        <v>22</v>
      </c>
      <c r="P3364" s="30"/>
    </row>
    <row r="3365" spans="1:16" hidden="1">
      <c r="A3365" s="6" t="s">
        <v>15</v>
      </c>
      <c r="B3365" s="6" t="str">
        <f>"FES1162692038"</f>
        <v>FES1162692038</v>
      </c>
      <c r="C3365" s="7">
        <v>43612</v>
      </c>
      <c r="D3365" s="6">
        <v>1</v>
      </c>
      <c r="E3365" s="6">
        <v>2170690419</v>
      </c>
      <c r="F3365" s="6" t="s">
        <v>16</v>
      </c>
      <c r="G3365" s="6" t="s">
        <v>17</v>
      </c>
      <c r="H3365" s="6" t="s">
        <v>290</v>
      </c>
      <c r="I3365" s="6" t="s">
        <v>309</v>
      </c>
      <c r="J3365" s="6" t="s">
        <v>4288</v>
      </c>
      <c r="K3365" s="6" t="s">
        <v>1730</v>
      </c>
      <c r="L3365" s="6"/>
      <c r="M3365" s="6" t="s">
        <v>1731</v>
      </c>
      <c r="N3365" s="6" t="s">
        <v>4275</v>
      </c>
      <c r="O3365" s="6" t="s">
        <v>22</v>
      </c>
      <c r="P3365" s="30"/>
    </row>
    <row r="3366" spans="1:16" hidden="1">
      <c r="A3366" s="6" t="s">
        <v>15</v>
      </c>
      <c r="B3366" s="6" t="str">
        <f>"FES1162692029"</f>
        <v>FES1162692029</v>
      </c>
      <c r="C3366" s="7">
        <v>43612</v>
      </c>
      <c r="D3366" s="6">
        <v>1</v>
      </c>
      <c r="E3366" s="6">
        <v>2170690405</v>
      </c>
      <c r="F3366" s="6" t="s">
        <v>16</v>
      </c>
      <c r="G3366" s="6" t="s">
        <v>17</v>
      </c>
      <c r="H3366" s="6" t="s">
        <v>290</v>
      </c>
      <c r="I3366" s="6" t="s">
        <v>291</v>
      </c>
      <c r="J3366" s="6" t="s">
        <v>1744</v>
      </c>
      <c r="K3366" s="6" t="s">
        <v>1730</v>
      </c>
      <c r="L3366" s="6"/>
      <c r="M3366" s="6" t="s">
        <v>1731</v>
      </c>
      <c r="N3366" s="6" t="s">
        <v>4275</v>
      </c>
      <c r="O3366" s="6" t="s">
        <v>22</v>
      </c>
      <c r="P3366" s="30"/>
    </row>
    <row r="3367" spans="1:16" hidden="1">
      <c r="A3367" s="6" t="s">
        <v>15</v>
      </c>
      <c r="B3367" s="6" t="str">
        <f>"FES1162692054"</f>
        <v>FES1162692054</v>
      </c>
      <c r="C3367" s="7">
        <v>43612</v>
      </c>
      <c r="D3367" s="6">
        <v>1</v>
      </c>
      <c r="E3367" s="6">
        <v>2170690440</v>
      </c>
      <c r="F3367" s="6" t="s">
        <v>16</v>
      </c>
      <c r="G3367" s="6" t="s">
        <v>17</v>
      </c>
      <c r="H3367" s="6" t="s">
        <v>290</v>
      </c>
      <c r="I3367" s="6" t="s">
        <v>291</v>
      </c>
      <c r="J3367" s="6" t="s">
        <v>297</v>
      </c>
      <c r="K3367" s="6" t="s">
        <v>1730</v>
      </c>
      <c r="L3367" s="6"/>
      <c r="M3367" s="6" t="s">
        <v>1731</v>
      </c>
      <c r="N3367" s="6" t="s">
        <v>4275</v>
      </c>
      <c r="O3367" s="6" t="s">
        <v>22</v>
      </c>
      <c r="P3367" s="30"/>
    </row>
    <row r="3368" spans="1:16" hidden="1">
      <c r="A3368" s="6" t="s">
        <v>15</v>
      </c>
      <c r="B3368" s="6" t="str">
        <f>"FES1162692060"</f>
        <v>FES1162692060</v>
      </c>
      <c r="C3368" s="7">
        <v>43612</v>
      </c>
      <c r="D3368" s="6">
        <v>1</v>
      </c>
      <c r="E3368" s="6">
        <v>2170690446</v>
      </c>
      <c r="F3368" s="6" t="s">
        <v>16</v>
      </c>
      <c r="G3368" s="6" t="s">
        <v>17</v>
      </c>
      <c r="H3368" s="6" t="s">
        <v>141</v>
      </c>
      <c r="I3368" s="6" t="s">
        <v>142</v>
      </c>
      <c r="J3368" s="6" t="s">
        <v>228</v>
      </c>
      <c r="K3368" s="6" t="s">
        <v>1730</v>
      </c>
      <c r="L3368" s="6"/>
      <c r="M3368" s="6" t="s">
        <v>1731</v>
      </c>
      <c r="N3368" s="6" t="s">
        <v>4275</v>
      </c>
      <c r="O3368" s="6" t="s">
        <v>22</v>
      </c>
      <c r="P3368" s="30"/>
    </row>
    <row r="3369" spans="1:16" hidden="1">
      <c r="A3369" s="6" t="s">
        <v>15</v>
      </c>
      <c r="B3369" s="6" t="str">
        <f>"FES1162692059"</f>
        <v>FES1162692059</v>
      </c>
      <c r="C3369" s="7">
        <v>43612</v>
      </c>
      <c r="D3369" s="6">
        <v>1</v>
      </c>
      <c r="E3369" s="6">
        <v>2170690441</v>
      </c>
      <c r="F3369" s="6" t="s">
        <v>16</v>
      </c>
      <c r="G3369" s="6" t="s">
        <v>17</v>
      </c>
      <c r="H3369" s="6" t="s">
        <v>32</v>
      </c>
      <c r="I3369" s="6" t="s">
        <v>33</v>
      </c>
      <c r="J3369" s="6" t="s">
        <v>360</v>
      </c>
      <c r="K3369" s="6" t="s">
        <v>1730</v>
      </c>
      <c r="L3369" s="6"/>
      <c r="M3369" s="6" t="s">
        <v>1731</v>
      </c>
      <c r="N3369" s="6" t="s">
        <v>4275</v>
      </c>
      <c r="O3369" s="6" t="s">
        <v>22</v>
      </c>
      <c r="P3369" s="30"/>
    </row>
    <row r="3370" spans="1:16" hidden="1">
      <c r="A3370" s="6" t="s">
        <v>15</v>
      </c>
      <c r="B3370" s="6" t="str">
        <f>"FES1162692070"</f>
        <v>FES1162692070</v>
      </c>
      <c r="C3370" s="7">
        <v>43612</v>
      </c>
      <c r="D3370" s="6">
        <v>1</v>
      </c>
      <c r="E3370" s="6">
        <v>2170690460</v>
      </c>
      <c r="F3370" s="6" t="s">
        <v>16</v>
      </c>
      <c r="G3370" s="6" t="s">
        <v>17</v>
      </c>
      <c r="H3370" s="6" t="s">
        <v>32</v>
      </c>
      <c r="I3370" s="6" t="s">
        <v>33</v>
      </c>
      <c r="J3370" s="6" t="s">
        <v>778</v>
      </c>
      <c r="K3370" s="6" t="s">
        <v>1730</v>
      </c>
      <c r="L3370" s="6"/>
      <c r="M3370" s="6" t="s">
        <v>1731</v>
      </c>
      <c r="N3370" s="6" t="s">
        <v>4275</v>
      </c>
      <c r="O3370" s="6" t="s">
        <v>22</v>
      </c>
      <c r="P3370" s="30"/>
    </row>
    <row r="3371" spans="1:16" hidden="1">
      <c r="A3371" s="6" t="s">
        <v>15</v>
      </c>
      <c r="B3371" s="6" t="str">
        <f>"FES1162691969"</f>
        <v>FES1162691969</v>
      </c>
      <c r="C3371" s="7">
        <v>43612</v>
      </c>
      <c r="D3371" s="6">
        <v>1</v>
      </c>
      <c r="E3371" s="6">
        <v>2170690330</v>
      </c>
      <c r="F3371" s="6" t="s">
        <v>16</v>
      </c>
      <c r="G3371" s="6" t="s">
        <v>17</v>
      </c>
      <c r="H3371" s="6" t="s">
        <v>425</v>
      </c>
      <c r="I3371" s="6" t="s">
        <v>426</v>
      </c>
      <c r="J3371" s="6" t="s">
        <v>783</v>
      </c>
      <c r="K3371" s="6" t="s">
        <v>1730</v>
      </c>
      <c r="L3371" s="6"/>
      <c r="M3371" s="6" t="s">
        <v>1731</v>
      </c>
      <c r="N3371" s="6" t="s">
        <v>4275</v>
      </c>
      <c r="O3371" s="6" t="s">
        <v>22</v>
      </c>
      <c r="P3371" s="30"/>
    </row>
    <row r="3372" spans="1:16" hidden="1">
      <c r="A3372" s="6" t="s">
        <v>15</v>
      </c>
      <c r="B3372" s="6" t="str">
        <f>"FES1162692026"</f>
        <v>FES1162692026</v>
      </c>
      <c r="C3372" s="7">
        <v>43612</v>
      </c>
      <c r="D3372" s="6">
        <v>1</v>
      </c>
      <c r="E3372" s="6">
        <v>2170690399</v>
      </c>
      <c r="F3372" s="6" t="s">
        <v>16</v>
      </c>
      <c r="G3372" s="6" t="s">
        <v>17</v>
      </c>
      <c r="H3372" s="6" t="s">
        <v>290</v>
      </c>
      <c r="I3372" s="6" t="s">
        <v>291</v>
      </c>
      <c r="J3372" s="6" t="s">
        <v>1018</v>
      </c>
      <c r="K3372" s="6" t="s">
        <v>1730</v>
      </c>
      <c r="L3372" s="6"/>
      <c r="M3372" s="6" t="s">
        <v>1731</v>
      </c>
      <c r="N3372" s="6" t="s">
        <v>4275</v>
      </c>
      <c r="O3372" s="6" t="s">
        <v>22</v>
      </c>
      <c r="P3372" s="30"/>
    </row>
    <row r="3373" spans="1:16" hidden="1">
      <c r="A3373" s="6" t="s">
        <v>15</v>
      </c>
      <c r="B3373" s="6" t="str">
        <f>"FES1162692030"</f>
        <v>FES1162692030</v>
      </c>
      <c r="C3373" s="7">
        <v>43612</v>
      </c>
      <c r="D3373" s="6">
        <v>1</v>
      </c>
      <c r="E3373" s="6">
        <v>2170690408</v>
      </c>
      <c r="F3373" s="6" t="s">
        <v>16</v>
      </c>
      <c r="G3373" s="6" t="s">
        <v>17</v>
      </c>
      <c r="H3373" s="6" t="s">
        <v>300</v>
      </c>
      <c r="I3373" s="6" t="s">
        <v>1553</v>
      </c>
      <c r="J3373" s="6" t="s">
        <v>2822</v>
      </c>
      <c r="K3373" s="6" t="s">
        <v>1730</v>
      </c>
      <c r="L3373" s="6"/>
      <c r="M3373" s="6" t="s">
        <v>1731</v>
      </c>
      <c r="N3373" s="6" t="s">
        <v>4275</v>
      </c>
      <c r="O3373" s="6" t="s">
        <v>22</v>
      </c>
      <c r="P3373" s="30"/>
    </row>
    <row r="3374" spans="1:16" hidden="1">
      <c r="A3374" s="6" t="s">
        <v>15</v>
      </c>
      <c r="B3374" s="6" t="str">
        <f>"FES1162692047"</f>
        <v>FES1162692047</v>
      </c>
      <c r="C3374" s="7">
        <v>43612</v>
      </c>
      <c r="D3374" s="6">
        <v>1</v>
      </c>
      <c r="E3374" s="6">
        <v>2170690432</v>
      </c>
      <c r="F3374" s="6" t="s">
        <v>16</v>
      </c>
      <c r="G3374" s="6" t="s">
        <v>17</v>
      </c>
      <c r="H3374" s="6" t="s">
        <v>290</v>
      </c>
      <c r="I3374" s="6" t="s">
        <v>309</v>
      </c>
      <c r="J3374" s="6" t="s">
        <v>4289</v>
      </c>
      <c r="K3374" s="6" t="s">
        <v>1730</v>
      </c>
      <c r="L3374" s="6"/>
      <c r="M3374" s="6" t="s">
        <v>1731</v>
      </c>
      <c r="N3374" s="6" t="s">
        <v>4275</v>
      </c>
      <c r="O3374" s="6" t="s">
        <v>22</v>
      </c>
      <c r="P3374" s="30"/>
    </row>
    <row r="3375" spans="1:16" hidden="1">
      <c r="A3375" s="6" t="s">
        <v>15</v>
      </c>
      <c r="B3375" s="6" t="str">
        <f>"FES1162692074"</f>
        <v>FES1162692074</v>
      </c>
      <c r="C3375" s="7">
        <v>43612</v>
      </c>
      <c r="D3375" s="6">
        <v>1</v>
      </c>
      <c r="E3375" s="6">
        <v>2170690463</v>
      </c>
      <c r="F3375" s="6" t="s">
        <v>16</v>
      </c>
      <c r="G3375" s="6" t="s">
        <v>17</v>
      </c>
      <c r="H3375" s="6" t="s">
        <v>43</v>
      </c>
      <c r="I3375" s="6" t="s">
        <v>738</v>
      </c>
      <c r="J3375" s="6" t="s">
        <v>4290</v>
      </c>
      <c r="K3375" s="6" t="s">
        <v>1730</v>
      </c>
      <c r="L3375" s="6"/>
      <c r="M3375" s="6" t="s">
        <v>1731</v>
      </c>
      <c r="N3375" s="6" t="s">
        <v>4275</v>
      </c>
      <c r="O3375" s="6" t="s">
        <v>22</v>
      </c>
    </row>
    <row r="3376" spans="1:16" hidden="1">
      <c r="A3376" s="6" t="s">
        <v>15</v>
      </c>
      <c r="B3376" s="6" t="str">
        <f>"FES1162692067"</f>
        <v>FES1162692067</v>
      </c>
      <c r="C3376" s="7">
        <v>43612</v>
      </c>
      <c r="D3376" s="6">
        <v>1</v>
      </c>
      <c r="E3376" s="6">
        <v>2170690457</v>
      </c>
      <c r="F3376" s="6" t="s">
        <v>16</v>
      </c>
      <c r="G3376" s="6" t="s">
        <v>17</v>
      </c>
      <c r="H3376" s="6" t="s">
        <v>43</v>
      </c>
      <c r="I3376" s="6" t="s">
        <v>75</v>
      </c>
      <c r="J3376" s="6" t="s">
        <v>222</v>
      </c>
      <c r="K3376" s="6" t="s">
        <v>1730</v>
      </c>
      <c r="L3376" s="6"/>
      <c r="M3376" s="6" t="s">
        <v>1731</v>
      </c>
      <c r="N3376" s="6" t="s">
        <v>4275</v>
      </c>
      <c r="O3376" s="6" t="s">
        <v>22</v>
      </c>
    </row>
    <row r="3377" spans="1:15" hidden="1">
      <c r="A3377" s="6" t="s">
        <v>15</v>
      </c>
      <c r="B3377" s="6" t="str">
        <f>"FES1162692084"</f>
        <v>FES1162692084</v>
      </c>
      <c r="C3377" s="7">
        <v>43612</v>
      </c>
      <c r="D3377" s="6">
        <v>1</v>
      </c>
      <c r="E3377" s="6">
        <v>2170690465</v>
      </c>
      <c r="F3377" s="6" t="s">
        <v>16</v>
      </c>
      <c r="G3377" s="6" t="s">
        <v>17</v>
      </c>
      <c r="H3377" s="6" t="s">
        <v>37</v>
      </c>
      <c r="I3377" s="6" t="s">
        <v>38</v>
      </c>
      <c r="J3377" s="6" t="s">
        <v>182</v>
      </c>
      <c r="K3377" s="6" t="s">
        <v>1730</v>
      </c>
      <c r="L3377" s="6"/>
      <c r="M3377" s="6" t="s">
        <v>1731</v>
      </c>
      <c r="N3377" s="6" t="s">
        <v>4275</v>
      </c>
      <c r="O3377" s="6" t="s">
        <v>22</v>
      </c>
    </row>
    <row r="3378" spans="1:15" hidden="1">
      <c r="A3378" s="6" t="s">
        <v>15</v>
      </c>
      <c r="B3378" s="6" t="str">
        <f>"FES1162692085"</f>
        <v>FES1162692085</v>
      </c>
      <c r="C3378" s="7">
        <v>43612</v>
      </c>
      <c r="D3378" s="6">
        <v>1</v>
      </c>
      <c r="E3378" s="6">
        <v>2170690471</v>
      </c>
      <c r="F3378" s="6" t="s">
        <v>16</v>
      </c>
      <c r="G3378" s="6" t="s">
        <v>17</v>
      </c>
      <c r="H3378" s="6" t="s">
        <v>32</v>
      </c>
      <c r="I3378" s="6" t="s">
        <v>33</v>
      </c>
      <c r="J3378" s="6" t="s">
        <v>34</v>
      </c>
      <c r="K3378" s="6" t="s">
        <v>1730</v>
      </c>
      <c r="L3378" s="6"/>
      <c r="M3378" s="6" t="s">
        <v>1731</v>
      </c>
      <c r="N3378" s="6" t="s">
        <v>4275</v>
      </c>
      <c r="O3378" s="6" t="s">
        <v>22</v>
      </c>
    </row>
    <row r="3379" spans="1:15" hidden="1">
      <c r="A3379" s="6" t="s">
        <v>15</v>
      </c>
      <c r="B3379" s="6" t="str">
        <f>"FES1162692093"</f>
        <v>FES1162692093</v>
      </c>
      <c r="C3379" s="7">
        <v>43612</v>
      </c>
      <c r="D3379" s="6">
        <v>1</v>
      </c>
      <c r="E3379" s="6">
        <v>2170690480</v>
      </c>
      <c r="F3379" s="6" t="s">
        <v>16</v>
      </c>
      <c r="G3379" s="6" t="s">
        <v>17</v>
      </c>
      <c r="H3379" s="6" t="s">
        <v>32</v>
      </c>
      <c r="I3379" s="6" t="s">
        <v>1207</v>
      </c>
      <c r="J3379" s="6" t="s">
        <v>1208</v>
      </c>
      <c r="K3379" s="6" t="s">
        <v>1730</v>
      </c>
      <c r="L3379" s="6"/>
      <c r="M3379" s="6" t="s">
        <v>1731</v>
      </c>
      <c r="N3379" s="6" t="s">
        <v>4275</v>
      </c>
      <c r="O3379" s="6" t="s">
        <v>22</v>
      </c>
    </row>
    <row r="3380" spans="1:15" hidden="1">
      <c r="A3380" s="6" t="s">
        <v>15</v>
      </c>
      <c r="B3380" s="6" t="str">
        <f>"FES1162692089"</f>
        <v>FES1162692089</v>
      </c>
      <c r="C3380" s="7">
        <v>43612</v>
      </c>
      <c r="D3380" s="6">
        <v>1</v>
      </c>
      <c r="E3380" s="6">
        <v>2170690455</v>
      </c>
      <c r="F3380" s="6" t="s">
        <v>16</v>
      </c>
      <c r="G3380" s="6" t="s">
        <v>17</v>
      </c>
      <c r="H3380" s="6" t="s">
        <v>43</v>
      </c>
      <c r="I3380" s="6" t="s">
        <v>75</v>
      </c>
      <c r="J3380" s="6" t="s">
        <v>1874</v>
      </c>
      <c r="K3380" s="6" t="s">
        <v>1730</v>
      </c>
      <c r="L3380" s="6"/>
      <c r="M3380" s="6" t="s">
        <v>1731</v>
      </c>
      <c r="N3380" s="6" t="s">
        <v>4275</v>
      </c>
      <c r="O3380" s="6" t="s">
        <v>22</v>
      </c>
    </row>
    <row r="3381" spans="1:15" hidden="1">
      <c r="A3381" s="6" t="s">
        <v>15</v>
      </c>
      <c r="B3381" s="6" t="str">
        <f>"FES1162692088"</f>
        <v>FES1162692088</v>
      </c>
      <c r="C3381" s="7">
        <v>43612</v>
      </c>
      <c r="D3381" s="6">
        <v>1</v>
      </c>
      <c r="E3381" s="6">
        <v>2170690475</v>
      </c>
      <c r="F3381" s="6" t="s">
        <v>16</v>
      </c>
      <c r="G3381" s="6" t="s">
        <v>17</v>
      </c>
      <c r="H3381" s="6" t="s">
        <v>43</v>
      </c>
      <c r="I3381" s="6" t="s">
        <v>738</v>
      </c>
      <c r="J3381" s="6" t="s">
        <v>739</v>
      </c>
      <c r="K3381" s="6" t="s">
        <v>1730</v>
      </c>
      <c r="L3381" s="6"/>
      <c r="M3381" s="6" t="s">
        <v>1731</v>
      </c>
      <c r="N3381" s="6" t="s">
        <v>4275</v>
      </c>
      <c r="O3381" s="6" t="s">
        <v>22</v>
      </c>
    </row>
    <row r="3382" spans="1:15" hidden="1">
      <c r="A3382" s="6" t="s">
        <v>15</v>
      </c>
      <c r="B3382" s="6" t="str">
        <f>"FES1162692068"</f>
        <v>FES1162692068</v>
      </c>
      <c r="C3382" s="7">
        <v>43612</v>
      </c>
      <c r="D3382" s="6">
        <v>1</v>
      </c>
      <c r="E3382" s="6">
        <v>2170689847</v>
      </c>
      <c r="F3382" s="6" t="s">
        <v>16</v>
      </c>
      <c r="G3382" s="6" t="s">
        <v>17</v>
      </c>
      <c r="H3382" s="6" t="s">
        <v>300</v>
      </c>
      <c r="I3382" s="6" t="s">
        <v>301</v>
      </c>
      <c r="J3382" s="6" t="s">
        <v>506</v>
      </c>
      <c r="K3382" s="6" t="s">
        <v>1730</v>
      </c>
      <c r="L3382" s="6"/>
      <c r="M3382" s="6" t="s">
        <v>1731</v>
      </c>
      <c r="N3382" s="6" t="s">
        <v>4275</v>
      </c>
      <c r="O3382" s="6" t="s">
        <v>22</v>
      </c>
    </row>
    <row r="3383" spans="1:15" hidden="1">
      <c r="A3383" s="6" t="s">
        <v>15</v>
      </c>
      <c r="B3383" s="6" t="str">
        <f>"FES1162692092"</f>
        <v>FES1162692092</v>
      </c>
      <c r="C3383" s="7">
        <v>43612</v>
      </c>
      <c r="D3383" s="6">
        <v>1</v>
      </c>
      <c r="E3383" s="6">
        <v>2170690478</v>
      </c>
      <c r="F3383" s="6" t="s">
        <v>16</v>
      </c>
      <c r="G3383" s="6" t="s">
        <v>17</v>
      </c>
      <c r="H3383" s="6" t="s">
        <v>132</v>
      </c>
      <c r="I3383" s="6" t="s">
        <v>137</v>
      </c>
      <c r="J3383" s="6" t="s">
        <v>138</v>
      </c>
      <c r="K3383" s="6" t="s">
        <v>1730</v>
      </c>
      <c r="L3383" s="6"/>
      <c r="M3383" s="6" t="s">
        <v>1731</v>
      </c>
      <c r="N3383" s="6" t="s">
        <v>4275</v>
      </c>
      <c r="O3383" s="6" t="s">
        <v>22</v>
      </c>
    </row>
    <row r="3384" spans="1:15" hidden="1">
      <c r="A3384" s="6" t="s">
        <v>15</v>
      </c>
      <c r="B3384" s="6" t="str">
        <f>"FES1162692077"</f>
        <v>FES1162692077</v>
      </c>
      <c r="C3384" s="7">
        <v>43612</v>
      </c>
      <c r="D3384" s="6">
        <v>1</v>
      </c>
      <c r="E3384" s="6">
        <v>2170690467</v>
      </c>
      <c r="F3384" s="6" t="s">
        <v>16</v>
      </c>
      <c r="G3384" s="6" t="s">
        <v>17</v>
      </c>
      <c r="H3384" s="6" t="s">
        <v>132</v>
      </c>
      <c r="I3384" s="6" t="s">
        <v>133</v>
      </c>
      <c r="J3384" s="6" t="s">
        <v>639</v>
      </c>
      <c r="K3384" s="6" t="s">
        <v>1730</v>
      </c>
      <c r="L3384" s="6"/>
      <c r="M3384" s="6" t="s">
        <v>1731</v>
      </c>
      <c r="N3384" s="6" t="s">
        <v>4275</v>
      </c>
      <c r="O3384" s="6" t="s">
        <v>22</v>
      </c>
    </row>
    <row r="3385" spans="1:15" hidden="1">
      <c r="A3385" s="6" t="s">
        <v>15</v>
      </c>
      <c r="B3385" s="6" t="str">
        <f>"FES1162692078"</f>
        <v>FES1162692078</v>
      </c>
      <c r="C3385" s="7">
        <v>43612</v>
      </c>
      <c r="D3385" s="6">
        <v>1</v>
      </c>
      <c r="E3385" s="6">
        <v>2170690468</v>
      </c>
      <c r="F3385" s="6" t="s">
        <v>16</v>
      </c>
      <c r="G3385" s="6" t="s">
        <v>17</v>
      </c>
      <c r="H3385" s="6" t="s">
        <v>141</v>
      </c>
      <c r="I3385" s="6" t="s">
        <v>142</v>
      </c>
      <c r="J3385" s="6" t="s">
        <v>864</v>
      </c>
      <c r="K3385" s="6" t="s">
        <v>1730</v>
      </c>
      <c r="L3385" s="6"/>
      <c r="M3385" s="6" t="s">
        <v>1731</v>
      </c>
      <c r="N3385" s="6" t="s">
        <v>4275</v>
      </c>
      <c r="O3385" s="6" t="s">
        <v>22</v>
      </c>
    </row>
    <row r="3386" spans="1:15" hidden="1">
      <c r="A3386" s="6" t="s">
        <v>15</v>
      </c>
      <c r="B3386" s="6" t="str">
        <f>"FES1162692073"</f>
        <v>FES1162692073</v>
      </c>
      <c r="C3386" s="7">
        <v>43612</v>
      </c>
      <c r="D3386" s="6">
        <v>1</v>
      </c>
      <c r="E3386" s="6">
        <v>2170690458</v>
      </c>
      <c r="F3386" s="6" t="s">
        <v>16</v>
      </c>
      <c r="G3386" s="6" t="s">
        <v>17</v>
      </c>
      <c r="H3386" s="6" t="s">
        <v>141</v>
      </c>
      <c r="I3386" s="6" t="s">
        <v>448</v>
      </c>
      <c r="J3386" s="6" t="s">
        <v>449</v>
      </c>
      <c r="K3386" s="6" t="s">
        <v>1730</v>
      </c>
      <c r="L3386" s="6"/>
      <c r="M3386" s="6" t="s">
        <v>1731</v>
      </c>
      <c r="N3386" s="6" t="s">
        <v>4275</v>
      </c>
      <c r="O3386" s="6" t="s">
        <v>22</v>
      </c>
    </row>
    <row r="3387" spans="1:15" hidden="1">
      <c r="A3387" s="6" t="s">
        <v>15</v>
      </c>
      <c r="B3387" s="6" t="str">
        <f>"FES1162692076"</f>
        <v>FES1162692076</v>
      </c>
      <c r="C3387" s="7">
        <v>43612</v>
      </c>
      <c r="D3387" s="6">
        <v>1</v>
      </c>
      <c r="E3387" s="6">
        <v>2170690466</v>
      </c>
      <c r="F3387" s="6" t="s">
        <v>16</v>
      </c>
      <c r="G3387" s="6" t="s">
        <v>17</v>
      </c>
      <c r="H3387" s="6" t="s">
        <v>141</v>
      </c>
      <c r="I3387" s="6" t="s">
        <v>185</v>
      </c>
      <c r="J3387" s="6" t="s">
        <v>1543</v>
      </c>
      <c r="K3387" s="6" t="s">
        <v>1730</v>
      </c>
      <c r="L3387" s="6"/>
      <c r="M3387" s="6" t="s">
        <v>1731</v>
      </c>
      <c r="N3387" s="6" t="s">
        <v>4275</v>
      </c>
      <c r="O3387" s="6" t="s">
        <v>22</v>
      </c>
    </row>
    <row r="3388" spans="1:15" hidden="1">
      <c r="A3388" s="6" t="s">
        <v>15</v>
      </c>
      <c r="B3388" s="6" t="str">
        <f>"FES1162692086"</f>
        <v>FES1162692086</v>
      </c>
      <c r="C3388" s="7">
        <v>43612</v>
      </c>
      <c r="D3388" s="6">
        <v>1</v>
      </c>
      <c r="E3388" s="6">
        <v>2170690472</v>
      </c>
      <c r="F3388" s="6" t="s">
        <v>16</v>
      </c>
      <c r="G3388" s="6" t="s">
        <v>17</v>
      </c>
      <c r="H3388" s="6" t="s">
        <v>440</v>
      </c>
      <c r="I3388" s="6" t="s">
        <v>1546</v>
      </c>
      <c r="J3388" s="6" t="s">
        <v>1547</v>
      </c>
      <c r="K3388" s="6" t="s">
        <v>1730</v>
      </c>
      <c r="L3388" s="6"/>
      <c r="M3388" s="6" t="s">
        <v>1731</v>
      </c>
      <c r="N3388" s="6" t="s">
        <v>4275</v>
      </c>
      <c r="O3388" s="6" t="s">
        <v>22</v>
      </c>
    </row>
    <row r="3389" spans="1:15" hidden="1">
      <c r="A3389" s="6" t="s">
        <v>15</v>
      </c>
      <c r="B3389" s="6" t="str">
        <f>"FES1162692071"</f>
        <v>FES1162692071</v>
      </c>
      <c r="C3389" s="7">
        <v>43612</v>
      </c>
      <c r="D3389" s="6">
        <v>1</v>
      </c>
      <c r="E3389" s="6">
        <v>2170690461</v>
      </c>
      <c r="F3389" s="6" t="s">
        <v>16</v>
      </c>
      <c r="G3389" s="6" t="s">
        <v>17</v>
      </c>
      <c r="H3389" s="6" t="s">
        <v>132</v>
      </c>
      <c r="I3389" s="6" t="s">
        <v>133</v>
      </c>
      <c r="J3389" s="6" t="s">
        <v>238</v>
      </c>
      <c r="K3389" s="6" t="s">
        <v>1730</v>
      </c>
      <c r="L3389" s="6"/>
      <c r="M3389" s="6" t="s">
        <v>1731</v>
      </c>
      <c r="N3389" s="6" t="s">
        <v>4275</v>
      </c>
      <c r="O3389" s="6" t="s">
        <v>22</v>
      </c>
    </row>
    <row r="3390" spans="1:15" hidden="1">
      <c r="A3390" s="6" t="s">
        <v>15</v>
      </c>
      <c r="B3390" s="6" t="str">
        <f>"FES1162691777"</f>
        <v>FES1162691777</v>
      </c>
      <c r="C3390" s="7">
        <v>43612</v>
      </c>
      <c r="D3390" s="6">
        <v>1</v>
      </c>
      <c r="E3390" s="6">
        <v>2170690058</v>
      </c>
      <c r="F3390" s="6" t="s">
        <v>16</v>
      </c>
      <c r="G3390" s="6" t="s">
        <v>17</v>
      </c>
      <c r="H3390" s="6" t="s">
        <v>43</v>
      </c>
      <c r="I3390" s="6" t="s">
        <v>44</v>
      </c>
      <c r="J3390" s="6" t="s">
        <v>48</v>
      </c>
      <c r="K3390" s="7">
        <v>43613</v>
      </c>
      <c r="L3390" s="8">
        <v>0.32500000000000001</v>
      </c>
      <c r="M3390" s="6" t="s">
        <v>1650</v>
      </c>
      <c r="N3390" s="6" t="s">
        <v>21</v>
      </c>
      <c r="O3390" s="6" t="s">
        <v>22</v>
      </c>
    </row>
    <row r="3391" spans="1:15" hidden="1">
      <c r="A3391" s="6" t="s">
        <v>15</v>
      </c>
      <c r="B3391" s="6" t="str">
        <f>"FES1162692083"</f>
        <v>FES1162692083</v>
      </c>
      <c r="C3391" s="7">
        <v>43612</v>
      </c>
      <c r="D3391" s="6">
        <v>1</v>
      </c>
      <c r="E3391" s="6">
        <v>2170690015</v>
      </c>
      <c r="F3391" s="6" t="s">
        <v>16</v>
      </c>
      <c r="G3391" s="6" t="s">
        <v>17</v>
      </c>
      <c r="H3391" s="6" t="s">
        <v>290</v>
      </c>
      <c r="I3391" s="6" t="s">
        <v>291</v>
      </c>
      <c r="J3391" s="6" t="s">
        <v>4165</v>
      </c>
      <c r="K3391" s="6" t="s">
        <v>1730</v>
      </c>
      <c r="L3391" s="6"/>
      <c r="M3391" s="6" t="s">
        <v>1731</v>
      </c>
      <c r="N3391" s="6" t="s">
        <v>4275</v>
      </c>
      <c r="O3391" s="6" t="s">
        <v>22</v>
      </c>
    </row>
    <row r="3392" spans="1:15" hidden="1">
      <c r="A3392" s="6" t="s">
        <v>15</v>
      </c>
      <c r="B3392" s="6" t="str">
        <f>"FES1162692101"</f>
        <v>FES1162692101</v>
      </c>
      <c r="C3392" s="7">
        <v>43612</v>
      </c>
      <c r="D3392" s="6">
        <v>1</v>
      </c>
      <c r="E3392" s="6">
        <v>2170690492</v>
      </c>
      <c r="F3392" s="6" t="s">
        <v>16</v>
      </c>
      <c r="G3392" s="6" t="s">
        <v>17</v>
      </c>
      <c r="H3392" s="6" t="s">
        <v>141</v>
      </c>
      <c r="I3392" s="6" t="s">
        <v>142</v>
      </c>
      <c r="J3392" s="6" t="s">
        <v>2157</v>
      </c>
      <c r="K3392" s="6" t="s">
        <v>1730</v>
      </c>
      <c r="L3392" s="6"/>
      <c r="M3392" s="6" t="s">
        <v>1731</v>
      </c>
      <c r="N3392" s="6" t="s">
        <v>4275</v>
      </c>
      <c r="O3392" s="6" t="s">
        <v>22</v>
      </c>
    </row>
    <row r="3393" spans="1:15" hidden="1">
      <c r="A3393" s="6" t="s">
        <v>15</v>
      </c>
      <c r="B3393" s="6" t="str">
        <f>"FES1162692096"</f>
        <v>FES1162692096</v>
      </c>
      <c r="C3393" s="7">
        <v>43612</v>
      </c>
      <c r="D3393" s="6">
        <v>1</v>
      </c>
      <c r="E3393" s="6">
        <v>2170690486</v>
      </c>
      <c r="F3393" s="6" t="s">
        <v>16</v>
      </c>
      <c r="G3393" s="6" t="s">
        <v>17</v>
      </c>
      <c r="H3393" s="6" t="s">
        <v>32</v>
      </c>
      <c r="I3393" s="6" t="s">
        <v>1207</v>
      </c>
      <c r="J3393" s="6" t="s">
        <v>1208</v>
      </c>
      <c r="K3393" s="6" t="s">
        <v>1730</v>
      </c>
      <c r="L3393" s="6"/>
      <c r="M3393" s="6" t="s">
        <v>1731</v>
      </c>
      <c r="N3393" s="6" t="s">
        <v>4275</v>
      </c>
      <c r="O3393" s="6" t="s">
        <v>22</v>
      </c>
    </row>
    <row r="3394" spans="1:15" hidden="1">
      <c r="A3394" s="6" t="s">
        <v>15</v>
      </c>
      <c r="B3394" s="6" t="str">
        <f>"FES1162692103"</f>
        <v>FES1162692103</v>
      </c>
      <c r="C3394" s="7">
        <v>43612</v>
      </c>
      <c r="D3394" s="6">
        <v>1</v>
      </c>
      <c r="E3394" s="6">
        <v>2170690494</v>
      </c>
      <c r="F3394" s="6" t="s">
        <v>16</v>
      </c>
      <c r="G3394" s="6" t="s">
        <v>17</v>
      </c>
      <c r="H3394" s="6" t="s">
        <v>141</v>
      </c>
      <c r="I3394" s="6" t="s">
        <v>142</v>
      </c>
      <c r="J3394" s="6" t="s">
        <v>864</v>
      </c>
      <c r="K3394" s="6" t="s">
        <v>1730</v>
      </c>
      <c r="L3394" s="6"/>
      <c r="M3394" s="6" t="s">
        <v>1731</v>
      </c>
      <c r="N3394" s="6" t="s">
        <v>4275</v>
      </c>
      <c r="O3394" s="6" t="s">
        <v>22</v>
      </c>
    </row>
    <row r="3395" spans="1:15" hidden="1">
      <c r="A3395" s="6" t="s">
        <v>15</v>
      </c>
      <c r="B3395" s="6" t="str">
        <f>"FES1162692097"</f>
        <v>FES1162692097</v>
      </c>
      <c r="C3395" s="7">
        <v>43612</v>
      </c>
      <c r="D3395" s="6">
        <v>1</v>
      </c>
      <c r="E3395" s="6">
        <v>2170690487</v>
      </c>
      <c r="F3395" s="6" t="s">
        <v>16</v>
      </c>
      <c r="G3395" s="6" t="s">
        <v>17</v>
      </c>
      <c r="H3395" s="6" t="s">
        <v>32</v>
      </c>
      <c r="I3395" s="6" t="s">
        <v>269</v>
      </c>
      <c r="J3395" s="6" t="s">
        <v>683</v>
      </c>
      <c r="K3395" s="6" t="s">
        <v>1730</v>
      </c>
      <c r="L3395" s="6"/>
      <c r="M3395" s="6" t="s">
        <v>1731</v>
      </c>
      <c r="N3395" s="6" t="s">
        <v>4275</v>
      </c>
      <c r="O3395" s="6" t="s">
        <v>22</v>
      </c>
    </row>
    <row r="3396" spans="1:15" hidden="1">
      <c r="A3396" s="6" t="s">
        <v>15</v>
      </c>
      <c r="B3396" s="6" t="str">
        <f>"FES1162692102"</f>
        <v>FES1162692102</v>
      </c>
      <c r="C3396" s="7">
        <v>43612</v>
      </c>
      <c r="D3396" s="6">
        <v>1</v>
      </c>
      <c r="E3396" s="6">
        <v>2170690493</v>
      </c>
      <c r="F3396" s="6" t="s">
        <v>16</v>
      </c>
      <c r="G3396" s="6" t="s">
        <v>17</v>
      </c>
      <c r="H3396" s="6" t="s">
        <v>290</v>
      </c>
      <c r="I3396" s="6" t="s">
        <v>291</v>
      </c>
      <c r="J3396" s="6" t="s">
        <v>1744</v>
      </c>
      <c r="K3396" s="6" t="s">
        <v>1730</v>
      </c>
      <c r="L3396" s="6"/>
      <c r="M3396" s="6" t="s">
        <v>1731</v>
      </c>
      <c r="N3396" s="6" t="s">
        <v>4275</v>
      </c>
      <c r="O3396" s="6" t="s">
        <v>22</v>
      </c>
    </row>
    <row r="3397" spans="1:15" hidden="1">
      <c r="A3397" s="6" t="s">
        <v>15</v>
      </c>
      <c r="B3397" s="6" t="str">
        <f>"FES1162692105"</f>
        <v>FES1162692105</v>
      </c>
      <c r="C3397" s="7">
        <v>43612</v>
      </c>
      <c r="D3397" s="6">
        <v>1</v>
      </c>
      <c r="E3397" s="6">
        <v>2170684917</v>
      </c>
      <c r="F3397" s="6" t="s">
        <v>16</v>
      </c>
      <c r="G3397" s="6" t="s">
        <v>17</v>
      </c>
      <c r="H3397" s="6" t="s">
        <v>32</v>
      </c>
      <c r="I3397" s="6" t="s">
        <v>33</v>
      </c>
      <c r="J3397" s="6" t="s">
        <v>1243</v>
      </c>
      <c r="K3397" s="6" t="s">
        <v>1730</v>
      </c>
      <c r="L3397" s="6"/>
      <c r="M3397" s="6" t="s">
        <v>1731</v>
      </c>
      <c r="N3397" s="6" t="s">
        <v>4275</v>
      </c>
      <c r="O3397" s="6" t="s">
        <v>22</v>
      </c>
    </row>
    <row r="3398" spans="1:15" hidden="1">
      <c r="A3398" s="6" t="s">
        <v>15</v>
      </c>
      <c r="B3398" s="6" t="str">
        <f>"FES1162692014"</f>
        <v>FES1162692014</v>
      </c>
      <c r="C3398" s="7">
        <v>43613</v>
      </c>
      <c r="D3398" s="6">
        <v>1</v>
      </c>
      <c r="E3398" s="6">
        <v>2170690380</v>
      </c>
      <c r="F3398" s="6" t="s">
        <v>16</v>
      </c>
      <c r="G3398" s="6" t="s">
        <v>17</v>
      </c>
      <c r="H3398" s="6" t="s">
        <v>141</v>
      </c>
      <c r="I3398" s="6" t="s">
        <v>142</v>
      </c>
      <c r="J3398" s="6" t="s">
        <v>4291</v>
      </c>
      <c r="K3398" s="6" t="s">
        <v>1730</v>
      </c>
      <c r="L3398" s="6"/>
      <c r="M3398" s="6" t="s">
        <v>1731</v>
      </c>
      <c r="N3398" s="6" t="s">
        <v>4275</v>
      </c>
      <c r="O3398" s="6" t="s">
        <v>22</v>
      </c>
    </row>
    <row r="3399" spans="1:15" hidden="1">
      <c r="A3399" s="6" t="s">
        <v>15</v>
      </c>
      <c r="B3399" s="6" t="str">
        <f>"FES1162692107"</f>
        <v>FES1162692107</v>
      </c>
      <c r="C3399" s="7">
        <v>43613</v>
      </c>
      <c r="D3399" s="6">
        <v>1</v>
      </c>
      <c r="E3399" s="6">
        <v>2170690501</v>
      </c>
      <c r="F3399" s="6" t="s">
        <v>16</v>
      </c>
      <c r="G3399" s="6" t="s">
        <v>17</v>
      </c>
      <c r="H3399" s="6" t="s">
        <v>141</v>
      </c>
      <c r="I3399" s="6" t="s">
        <v>142</v>
      </c>
      <c r="J3399" s="6" t="s">
        <v>2157</v>
      </c>
      <c r="K3399" s="6" t="s">
        <v>1730</v>
      </c>
      <c r="L3399" s="6"/>
      <c r="M3399" s="6" t="s">
        <v>1731</v>
      </c>
      <c r="N3399" s="6" t="s">
        <v>4275</v>
      </c>
      <c r="O3399" s="6" t="s">
        <v>22</v>
      </c>
    </row>
    <row r="3400" spans="1:15" hidden="1">
      <c r="A3400" s="6" t="s">
        <v>15</v>
      </c>
      <c r="B3400" s="6" t="str">
        <f>"FES1162691609"</f>
        <v>FES1162691609</v>
      </c>
      <c r="C3400" s="7">
        <v>43608</v>
      </c>
      <c r="D3400" s="6">
        <v>1</v>
      </c>
      <c r="E3400" s="6">
        <v>2170689910</v>
      </c>
      <c r="F3400" s="6" t="s">
        <v>16</v>
      </c>
      <c r="G3400" s="6" t="s">
        <v>17</v>
      </c>
      <c r="H3400" s="6" t="s">
        <v>141</v>
      </c>
      <c r="I3400" s="6" t="s">
        <v>142</v>
      </c>
      <c r="J3400" s="6" t="s">
        <v>228</v>
      </c>
      <c r="K3400" s="7">
        <v>43609</v>
      </c>
      <c r="L3400" s="8">
        <v>0.38541666666666669</v>
      </c>
      <c r="M3400" s="6" t="s">
        <v>229</v>
      </c>
      <c r="N3400" s="14" t="s">
        <v>21</v>
      </c>
      <c r="O3400" s="6" t="s">
        <v>22</v>
      </c>
    </row>
    <row r="3401" spans="1:15" hidden="1">
      <c r="A3401" s="6" t="s">
        <v>15</v>
      </c>
      <c r="B3401" s="6" t="str">
        <f>"FES1162691475"</f>
        <v>FES1162691475</v>
      </c>
      <c r="C3401" s="7">
        <v>43608</v>
      </c>
      <c r="D3401" s="6">
        <v>1</v>
      </c>
      <c r="E3401" s="6">
        <v>2170689829</v>
      </c>
      <c r="F3401" s="6" t="s">
        <v>16</v>
      </c>
      <c r="G3401" s="6" t="s">
        <v>17</v>
      </c>
      <c r="H3401" s="6" t="s">
        <v>43</v>
      </c>
      <c r="I3401" s="6" t="s">
        <v>44</v>
      </c>
      <c r="J3401" s="6" t="s">
        <v>336</v>
      </c>
      <c r="K3401" s="7">
        <v>43609</v>
      </c>
      <c r="L3401" s="8">
        <v>0.36805555555555558</v>
      </c>
      <c r="M3401" s="6" t="s">
        <v>1502</v>
      </c>
      <c r="N3401" s="14" t="s">
        <v>21</v>
      </c>
      <c r="O3401" s="6" t="s">
        <v>22</v>
      </c>
    </row>
    <row r="3402" spans="1:15" hidden="1">
      <c r="A3402" s="6" t="s">
        <v>15</v>
      </c>
      <c r="B3402" s="6" t="str">
        <f>"FES1162691521"</f>
        <v>FES1162691521</v>
      </c>
      <c r="C3402" s="7">
        <v>43608</v>
      </c>
      <c r="D3402" s="6">
        <v>1</v>
      </c>
      <c r="E3402" s="6">
        <v>2170687475</v>
      </c>
      <c r="F3402" s="6" t="s">
        <v>16</v>
      </c>
      <c r="G3402" s="6" t="s">
        <v>17</v>
      </c>
      <c r="H3402" s="6" t="s">
        <v>43</v>
      </c>
      <c r="I3402" s="6" t="s">
        <v>60</v>
      </c>
      <c r="J3402" s="6" t="s">
        <v>409</v>
      </c>
      <c r="K3402" s="7">
        <v>43612</v>
      </c>
      <c r="L3402" s="8">
        <v>0.48749999999999999</v>
      </c>
      <c r="M3402" s="6" t="s">
        <v>1801</v>
      </c>
      <c r="N3402" s="14" t="s">
        <v>21</v>
      </c>
      <c r="O3402" s="6" t="s">
        <v>22</v>
      </c>
    </row>
    <row r="3403" spans="1:15" hidden="1">
      <c r="A3403" s="6" t="s">
        <v>15</v>
      </c>
      <c r="B3403" s="6" t="str">
        <f>"FES1162691437"</f>
        <v>FES1162691437</v>
      </c>
      <c r="C3403" s="7">
        <v>43608</v>
      </c>
      <c r="D3403" s="6">
        <v>1</v>
      </c>
      <c r="E3403" s="6">
        <v>2170685743</v>
      </c>
      <c r="F3403" s="6" t="s">
        <v>16</v>
      </c>
      <c r="G3403" s="6" t="s">
        <v>17</v>
      </c>
      <c r="H3403" s="6" t="s">
        <v>132</v>
      </c>
      <c r="I3403" s="6" t="s">
        <v>133</v>
      </c>
      <c r="J3403" s="6" t="s">
        <v>4000</v>
      </c>
      <c r="K3403" s="7">
        <v>43609</v>
      </c>
      <c r="L3403" s="8">
        <v>0.42083333333333334</v>
      </c>
      <c r="M3403" s="6" t="s">
        <v>4003</v>
      </c>
      <c r="N3403" s="14" t="s">
        <v>21</v>
      </c>
      <c r="O3403" s="6" t="s">
        <v>22</v>
      </c>
    </row>
    <row r="3404" spans="1:15">
      <c r="A3404" s="6" t="s">
        <v>15</v>
      </c>
      <c r="B3404" s="6" t="str">
        <f>"FES1162691714"</f>
        <v>FES1162691714</v>
      </c>
      <c r="C3404" s="7">
        <v>43608</v>
      </c>
      <c r="D3404" s="6">
        <v>1</v>
      </c>
      <c r="E3404" s="6">
        <v>2170690030</v>
      </c>
      <c r="F3404" s="6" t="s">
        <v>16</v>
      </c>
      <c r="G3404" s="6" t="s">
        <v>17</v>
      </c>
      <c r="H3404" s="6" t="s">
        <v>17</v>
      </c>
      <c r="I3404" s="6" t="s">
        <v>64</v>
      </c>
      <c r="J3404" s="6" t="s">
        <v>4292</v>
      </c>
      <c r="K3404" s="7">
        <v>43609</v>
      </c>
      <c r="L3404" s="8">
        <v>0.47152777777777777</v>
      </c>
      <c r="M3404" s="6" t="s">
        <v>2659</v>
      </c>
      <c r="N3404" s="14" t="s">
        <v>21</v>
      </c>
      <c r="O3404" s="6" t="s">
        <v>22</v>
      </c>
    </row>
    <row r="3405" spans="1:15" hidden="1">
      <c r="A3405" s="6" t="s">
        <v>15</v>
      </c>
      <c r="B3405" s="6" t="str">
        <f>"029908472353"</f>
        <v>029908472353</v>
      </c>
      <c r="C3405" s="7">
        <v>43608</v>
      </c>
      <c r="D3405" s="6">
        <v>1</v>
      </c>
      <c r="E3405" s="36">
        <v>319411940</v>
      </c>
      <c r="F3405" s="6" t="s">
        <v>58</v>
      </c>
      <c r="G3405" s="6" t="s">
        <v>141</v>
      </c>
      <c r="H3405" s="6" t="s">
        <v>2986</v>
      </c>
      <c r="I3405" s="6" t="s">
        <v>291</v>
      </c>
      <c r="J3405" s="6" t="s">
        <v>4005</v>
      </c>
      <c r="K3405" s="7">
        <v>43612</v>
      </c>
      <c r="L3405" s="8">
        <v>0.33333333333333331</v>
      </c>
      <c r="M3405" s="6" t="s">
        <v>2751</v>
      </c>
      <c r="N3405" s="14" t="s">
        <v>21</v>
      </c>
      <c r="O3405" s="6" t="s">
        <v>22</v>
      </c>
    </row>
    <row r="3406" spans="1:15" hidden="1">
      <c r="A3406" s="6" t="s">
        <v>15</v>
      </c>
      <c r="B3406" s="6" t="str">
        <f>"FES1162691538"</f>
        <v>FES1162691538</v>
      </c>
      <c r="C3406" s="7">
        <v>43608</v>
      </c>
      <c r="D3406" s="6">
        <v>1</v>
      </c>
      <c r="E3406" s="6">
        <v>2170688034</v>
      </c>
      <c r="F3406" s="6" t="s">
        <v>16</v>
      </c>
      <c r="G3406" s="6" t="s">
        <v>17</v>
      </c>
      <c r="H3406" s="6" t="s">
        <v>43</v>
      </c>
      <c r="I3406" s="6" t="s">
        <v>44</v>
      </c>
      <c r="J3406" s="6" t="s">
        <v>748</v>
      </c>
      <c r="K3406" s="7">
        <v>43609</v>
      </c>
      <c r="L3406" s="8">
        <v>0.41666666666666669</v>
      </c>
      <c r="M3406" s="6" t="s">
        <v>3834</v>
      </c>
      <c r="N3406" s="14" t="s">
        <v>21</v>
      </c>
      <c r="O3406" s="6" t="s">
        <v>22</v>
      </c>
    </row>
    <row r="3407" spans="1:15" hidden="1">
      <c r="A3407" s="6" t="s">
        <v>15</v>
      </c>
      <c r="B3407" s="6" t="str">
        <f>"FES1162691574"</f>
        <v>FES1162691574</v>
      </c>
      <c r="C3407" s="7">
        <v>43608</v>
      </c>
      <c r="D3407" s="6">
        <v>1</v>
      </c>
      <c r="E3407" s="6">
        <v>217688346</v>
      </c>
      <c r="F3407" s="6" t="s">
        <v>16</v>
      </c>
      <c r="G3407" s="6" t="s">
        <v>17</v>
      </c>
      <c r="H3407" s="6" t="s">
        <v>43</v>
      </c>
      <c r="I3407" s="6" t="s">
        <v>75</v>
      </c>
      <c r="J3407" s="6" t="s">
        <v>76</v>
      </c>
      <c r="K3407" s="7">
        <v>43609</v>
      </c>
      <c r="L3407" s="8">
        <v>0.47986111111111113</v>
      </c>
      <c r="M3407" s="6" t="s">
        <v>663</v>
      </c>
      <c r="N3407" s="14" t="s">
        <v>21</v>
      </c>
      <c r="O3407" s="6" t="s">
        <v>22</v>
      </c>
    </row>
    <row r="3408" spans="1:15" hidden="1">
      <c r="A3408" s="6" t="s">
        <v>15</v>
      </c>
      <c r="B3408" s="6" t="str">
        <f>"FES1162691505"</f>
        <v>FES1162691505</v>
      </c>
      <c r="C3408" s="7">
        <v>43608</v>
      </c>
      <c r="D3408" s="6">
        <v>1</v>
      </c>
      <c r="E3408" s="6">
        <v>2170689879</v>
      </c>
      <c r="F3408" s="6" t="s">
        <v>16</v>
      </c>
      <c r="G3408" s="6" t="s">
        <v>17</v>
      </c>
      <c r="H3408" s="6" t="s">
        <v>43</v>
      </c>
      <c r="I3408" s="6" t="s">
        <v>60</v>
      </c>
      <c r="J3408" s="6" t="s">
        <v>242</v>
      </c>
      <c r="K3408" s="7">
        <v>43612</v>
      </c>
      <c r="L3408" s="8">
        <v>0.48819444444444443</v>
      </c>
      <c r="M3408" s="6" t="s">
        <v>243</v>
      </c>
      <c r="N3408" s="14" t="s">
        <v>21</v>
      </c>
      <c r="O3408" s="6" t="s">
        <v>22</v>
      </c>
    </row>
    <row r="3409" spans="1:15" hidden="1">
      <c r="A3409" s="6" t="s">
        <v>15</v>
      </c>
      <c r="B3409" s="6" t="str">
        <f>"FES1162691565"</f>
        <v>FES1162691565</v>
      </c>
      <c r="C3409" s="7">
        <v>43608</v>
      </c>
      <c r="D3409" s="6">
        <v>1</v>
      </c>
      <c r="E3409" s="6">
        <v>2170688243</v>
      </c>
      <c r="F3409" s="6" t="s">
        <v>16</v>
      </c>
      <c r="G3409" s="6" t="s">
        <v>17</v>
      </c>
      <c r="H3409" s="6" t="s">
        <v>43</v>
      </c>
      <c r="I3409" s="6" t="s">
        <v>44</v>
      </c>
      <c r="J3409" s="6" t="s">
        <v>2804</v>
      </c>
      <c r="K3409" s="7">
        <v>43609</v>
      </c>
      <c r="L3409" s="8">
        <v>0.41666666666666669</v>
      </c>
      <c r="M3409" s="6" t="s">
        <v>4009</v>
      </c>
      <c r="N3409" s="14" t="s">
        <v>21</v>
      </c>
      <c r="O3409" s="6" t="s">
        <v>22</v>
      </c>
    </row>
    <row r="3410" spans="1:15" hidden="1">
      <c r="A3410" s="6" t="s">
        <v>15</v>
      </c>
      <c r="B3410" s="6" t="str">
        <f>"FES1162691552"</f>
        <v>FES1162691552</v>
      </c>
      <c r="C3410" s="7">
        <v>43608</v>
      </c>
      <c r="D3410" s="6">
        <v>1</v>
      </c>
      <c r="E3410" s="6">
        <v>2170688145</v>
      </c>
      <c r="F3410" s="6" t="s">
        <v>16</v>
      </c>
      <c r="G3410" s="6" t="s">
        <v>17</v>
      </c>
      <c r="H3410" s="6" t="s">
        <v>43</v>
      </c>
      <c r="I3410" s="6" t="s">
        <v>44</v>
      </c>
      <c r="J3410" s="6" t="s">
        <v>51</v>
      </c>
      <c r="K3410" s="7">
        <v>43609</v>
      </c>
      <c r="L3410" s="8">
        <v>0.34513888888888888</v>
      </c>
      <c r="M3410" s="6" t="s">
        <v>4011</v>
      </c>
      <c r="N3410" s="14" t="s">
        <v>21</v>
      </c>
      <c r="O3410" s="6" t="s">
        <v>22</v>
      </c>
    </row>
    <row r="3411" spans="1:15" hidden="1">
      <c r="A3411" s="6" t="s">
        <v>15</v>
      </c>
      <c r="B3411" s="6" t="str">
        <f>"FES1162691454"</f>
        <v>FES1162691454</v>
      </c>
      <c r="C3411" s="7">
        <v>43608</v>
      </c>
      <c r="D3411" s="6">
        <v>1</v>
      </c>
      <c r="E3411" s="6">
        <v>2170689014</v>
      </c>
      <c r="F3411" s="6" t="s">
        <v>16</v>
      </c>
      <c r="G3411" s="6" t="s">
        <v>17</v>
      </c>
      <c r="H3411" s="6" t="s">
        <v>43</v>
      </c>
      <c r="I3411" s="6" t="s">
        <v>44</v>
      </c>
      <c r="J3411" s="6" t="s">
        <v>114</v>
      </c>
      <c r="K3411" s="7">
        <v>43609</v>
      </c>
      <c r="L3411" s="8">
        <v>0.43541666666666662</v>
      </c>
      <c r="M3411" s="6" t="s">
        <v>4013</v>
      </c>
      <c r="N3411" s="14" t="s">
        <v>21</v>
      </c>
      <c r="O3411" s="6" t="s">
        <v>22</v>
      </c>
    </row>
    <row r="3412" spans="1:15" hidden="1">
      <c r="A3412" s="6" t="s">
        <v>15</v>
      </c>
      <c r="B3412" s="6" t="str">
        <f>"FES1162691522"</f>
        <v>FES1162691522</v>
      </c>
      <c r="C3412" s="7">
        <v>43608</v>
      </c>
      <c r="D3412" s="6">
        <v>1</v>
      </c>
      <c r="E3412" s="6">
        <v>2170687631</v>
      </c>
      <c r="F3412" s="6" t="s">
        <v>16</v>
      </c>
      <c r="G3412" s="6" t="s">
        <v>17</v>
      </c>
      <c r="H3412" s="6" t="s">
        <v>425</v>
      </c>
      <c r="I3412" s="6" t="s">
        <v>771</v>
      </c>
      <c r="J3412" s="6" t="s">
        <v>772</v>
      </c>
      <c r="K3412" s="7">
        <v>43609</v>
      </c>
      <c r="L3412" s="8">
        <v>0.57430555555555551</v>
      </c>
      <c r="M3412" s="6" t="s">
        <v>773</v>
      </c>
      <c r="N3412" s="14" t="s">
        <v>21</v>
      </c>
      <c r="O3412" s="6" t="s">
        <v>22</v>
      </c>
    </row>
    <row r="3413" spans="1:15" hidden="1">
      <c r="A3413" s="6" t="s">
        <v>15</v>
      </c>
      <c r="B3413" s="6" t="str">
        <f>"FES1162691557"</f>
        <v>FES1162691557</v>
      </c>
      <c r="C3413" s="7">
        <v>43608</v>
      </c>
      <c r="D3413" s="6">
        <v>1</v>
      </c>
      <c r="E3413" s="6">
        <v>2170688160</v>
      </c>
      <c r="F3413" s="6" t="s">
        <v>16</v>
      </c>
      <c r="G3413" s="6" t="s">
        <v>17</v>
      </c>
      <c r="H3413" s="6" t="s">
        <v>43</v>
      </c>
      <c r="I3413" s="6" t="s">
        <v>738</v>
      </c>
      <c r="J3413" s="6" t="s">
        <v>739</v>
      </c>
      <c r="K3413" s="7">
        <v>43609</v>
      </c>
      <c r="L3413" s="8">
        <v>0.4055555555555555</v>
      </c>
      <c r="M3413" s="6" t="s">
        <v>740</v>
      </c>
      <c r="N3413" s="14" t="s">
        <v>21</v>
      </c>
      <c r="O3413" s="6" t="s">
        <v>22</v>
      </c>
    </row>
    <row r="3414" spans="1:15" hidden="1">
      <c r="A3414" s="6" t="s">
        <v>15</v>
      </c>
      <c r="B3414" s="6" t="str">
        <f>"FES1162691553"</f>
        <v>FES1162691553</v>
      </c>
      <c r="C3414" s="7">
        <v>43608</v>
      </c>
      <c r="D3414" s="6">
        <v>1</v>
      </c>
      <c r="E3414" s="6">
        <v>2170688153</v>
      </c>
      <c r="F3414" s="6" t="s">
        <v>16</v>
      </c>
      <c r="G3414" s="6" t="s">
        <v>17</v>
      </c>
      <c r="H3414" s="6" t="s">
        <v>43</v>
      </c>
      <c r="I3414" s="6" t="s">
        <v>44</v>
      </c>
      <c r="J3414" s="6" t="s">
        <v>336</v>
      </c>
      <c r="K3414" s="7">
        <v>43609</v>
      </c>
      <c r="L3414" s="8">
        <v>0.36736111111111108</v>
      </c>
      <c r="M3414" s="6" t="s">
        <v>1502</v>
      </c>
      <c r="N3414" s="14" t="s">
        <v>21</v>
      </c>
      <c r="O3414" s="6" t="s">
        <v>22</v>
      </c>
    </row>
    <row r="3415" spans="1:15" hidden="1">
      <c r="A3415" s="6" t="s">
        <v>15</v>
      </c>
      <c r="B3415" s="6" t="str">
        <f>"FES1162691546"</f>
        <v>FES1162691546</v>
      </c>
      <c r="C3415" s="7">
        <v>43608</v>
      </c>
      <c r="D3415" s="6">
        <v>1</v>
      </c>
      <c r="E3415" s="6">
        <v>2170688094</v>
      </c>
      <c r="F3415" s="6" t="s">
        <v>16</v>
      </c>
      <c r="G3415" s="6" t="s">
        <v>17</v>
      </c>
      <c r="H3415" s="6" t="s">
        <v>43</v>
      </c>
      <c r="I3415" s="6" t="s">
        <v>44</v>
      </c>
      <c r="J3415" s="6" t="s">
        <v>2509</v>
      </c>
      <c r="K3415" s="7">
        <v>43609</v>
      </c>
      <c r="L3415" s="8">
        <v>0.35833333333333334</v>
      </c>
      <c r="M3415" s="6" t="s">
        <v>4018</v>
      </c>
      <c r="N3415" s="14" t="s">
        <v>21</v>
      </c>
      <c r="O3415" s="6" t="s">
        <v>22</v>
      </c>
    </row>
    <row r="3416" spans="1:15" hidden="1">
      <c r="A3416" s="6" t="s">
        <v>15</v>
      </c>
      <c r="B3416" s="6" t="str">
        <f>"FES1162691477"</f>
        <v>FES1162691477</v>
      </c>
      <c r="C3416" s="7">
        <v>43608</v>
      </c>
      <c r="D3416" s="6">
        <v>1</v>
      </c>
      <c r="E3416" s="6">
        <v>2170689836</v>
      </c>
      <c r="F3416" s="6" t="s">
        <v>16</v>
      </c>
      <c r="G3416" s="6" t="s">
        <v>17</v>
      </c>
      <c r="H3416" s="6" t="s">
        <v>43</v>
      </c>
      <c r="I3416" s="6" t="s">
        <v>44</v>
      </c>
      <c r="J3416" s="6" t="s">
        <v>399</v>
      </c>
      <c r="K3416" s="7">
        <v>43609</v>
      </c>
      <c r="L3416" s="8">
        <v>0.36319444444444443</v>
      </c>
      <c r="M3416" s="6" t="s">
        <v>4020</v>
      </c>
      <c r="N3416" s="14" t="s">
        <v>21</v>
      </c>
      <c r="O3416" s="6" t="s">
        <v>22</v>
      </c>
    </row>
    <row r="3417" spans="1:15" hidden="1">
      <c r="A3417" s="6" t="s">
        <v>15</v>
      </c>
      <c r="B3417" s="6" t="str">
        <f>"FES1162691442"</f>
        <v>FES1162691442</v>
      </c>
      <c r="C3417" s="7">
        <v>43608</v>
      </c>
      <c r="D3417" s="6">
        <v>1</v>
      </c>
      <c r="E3417" s="6">
        <v>2170687457</v>
      </c>
      <c r="F3417" s="6" t="s">
        <v>16</v>
      </c>
      <c r="G3417" s="6" t="s">
        <v>17</v>
      </c>
      <c r="H3417" s="6" t="s">
        <v>43</v>
      </c>
      <c r="I3417" s="6" t="s">
        <v>44</v>
      </c>
      <c r="J3417" s="6" t="s">
        <v>1591</v>
      </c>
      <c r="K3417" s="7">
        <v>43609</v>
      </c>
      <c r="L3417" s="8">
        <v>0.45833333333333331</v>
      </c>
      <c r="M3417" s="6" t="s">
        <v>4022</v>
      </c>
      <c r="N3417" s="14" t="s">
        <v>21</v>
      </c>
      <c r="O3417" s="6" t="s">
        <v>22</v>
      </c>
    </row>
    <row r="3418" spans="1:15" hidden="1">
      <c r="A3418" s="6" t="s">
        <v>15</v>
      </c>
      <c r="B3418" s="6" t="str">
        <f>"FES1162691581"</f>
        <v>FES1162691581</v>
      </c>
      <c r="C3418" s="7">
        <v>43608</v>
      </c>
      <c r="D3418" s="6">
        <v>1</v>
      </c>
      <c r="E3418" s="6">
        <v>21706888856</v>
      </c>
      <c r="F3418" s="6" t="s">
        <v>16</v>
      </c>
      <c r="G3418" s="6" t="s">
        <v>17</v>
      </c>
      <c r="H3418" s="6" t="s">
        <v>43</v>
      </c>
      <c r="I3418" s="6" t="s">
        <v>807</v>
      </c>
      <c r="J3418" s="6" t="s">
        <v>808</v>
      </c>
      <c r="K3418" s="7">
        <v>43609</v>
      </c>
      <c r="L3418" s="8">
        <v>0.50347222222222221</v>
      </c>
      <c r="M3418" s="6" t="s">
        <v>4024</v>
      </c>
      <c r="N3418" s="14" t="s">
        <v>21</v>
      </c>
      <c r="O3418" s="6" t="s">
        <v>22</v>
      </c>
    </row>
    <row r="3419" spans="1:15" hidden="1">
      <c r="A3419" s="6" t="s">
        <v>15</v>
      </c>
      <c r="B3419" s="6" t="str">
        <f>"FES1162691478"</f>
        <v>FES1162691478</v>
      </c>
      <c r="C3419" s="7">
        <v>43608</v>
      </c>
      <c r="D3419" s="6">
        <v>1</v>
      </c>
      <c r="E3419" s="6">
        <v>2170689838</v>
      </c>
      <c r="F3419" s="6" t="s">
        <v>16</v>
      </c>
      <c r="G3419" s="6" t="s">
        <v>17</v>
      </c>
      <c r="H3419" s="6" t="s">
        <v>43</v>
      </c>
      <c r="I3419" s="6" t="s">
        <v>75</v>
      </c>
      <c r="J3419" s="6" t="s">
        <v>76</v>
      </c>
      <c r="K3419" s="7">
        <v>43609</v>
      </c>
      <c r="L3419" s="8">
        <v>0.47986111111111113</v>
      </c>
      <c r="M3419" s="6" t="s">
        <v>663</v>
      </c>
      <c r="N3419" s="14" t="s">
        <v>21</v>
      </c>
      <c r="O3419" s="6" t="s">
        <v>22</v>
      </c>
    </row>
    <row r="3420" spans="1:15" hidden="1">
      <c r="A3420" s="6" t="s">
        <v>15</v>
      </c>
      <c r="B3420" s="6" t="str">
        <f>"FES1162691539"</f>
        <v>FES1162691539</v>
      </c>
      <c r="C3420" s="7">
        <v>43608</v>
      </c>
      <c r="D3420" s="6">
        <v>1</v>
      </c>
      <c r="E3420" s="6">
        <v>2170688035</v>
      </c>
      <c r="F3420" s="6" t="s">
        <v>16</v>
      </c>
      <c r="G3420" s="6" t="s">
        <v>17</v>
      </c>
      <c r="H3420" s="6" t="s">
        <v>43</v>
      </c>
      <c r="I3420" s="6" t="s">
        <v>44</v>
      </c>
      <c r="J3420" s="6" t="s">
        <v>72</v>
      </c>
      <c r="K3420" s="7">
        <v>43609</v>
      </c>
      <c r="L3420" s="8">
        <v>0.41805555555555557</v>
      </c>
      <c r="M3420" s="6" t="s">
        <v>1100</v>
      </c>
      <c r="N3420" s="14" t="s">
        <v>21</v>
      </c>
      <c r="O3420" s="6" t="s">
        <v>22</v>
      </c>
    </row>
    <row r="3421" spans="1:15" hidden="1">
      <c r="A3421" s="6" t="s">
        <v>15</v>
      </c>
      <c r="B3421" s="6" t="str">
        <f>"FES1162691484"</f>
        <v>FES1162691484</v>
      </c>
      <c r="C3421" s="7">
        <v>43608</v>
      </c>
      <c r="D3421" s="6">
        <v>1</v>
      </c>
      <c r="E3421" s="6">
        <v>21706849846</v>
      </c>
      <c r="F3421" s="6" t="s">
        <v>16</v>
      </c>
      <c r="G3421" s="6" t="s">
        <v>17</v>
      </c>
      <c r="H3421" s="6" t="s">
        <v>43</v>
      </c>
      <c r="I3421" s="6" t="s">
        <v>44</v>
      </c>
      <c r="J3421" s="6" t="s">
        <v>336</v>
      </c>
      <c r="K3421" s="7">
        <v>43609</v>
      </c>
      <c r="L3421" s="8">
        <v>0.36805555555555558</v>
      </c>
      <c r="M3421" s="6" t="s">
        <v>1502</v>
      </c>
      <c r="N3421" s="14" t="s">
        <v>21</v>
      </c>
      <c r="O3421" s="6" t="s">
        <v>22</v>
      </c>
    </row>
    <row r="3422" spans="1:15">
      <c r="A3422" s="6" t="s">
        <v>15</v>
      </c>
      <c r="B3422" s="6" t="str">
        <f>"FES1162691451"</f>
        <v>FES1162691451</v>
      </c>
      <c r="C3422" s="7">
        <v>43608</v>
      </c>
      <c r="D3422" s="6">
        <v>1</v>
      </c>
      <c r="E3422" s="6">
        <v>2170688806</v>
      </c>
      <c r="F3422" s="6" t="s">
        <v>16</v>
      </c>
      <c r="G3422" s="6" t="s">
        <v>17</v>
      </c>
      <c r="H3422" s="6" t="s">
        <v>17</v>
      </c>
      <c r="I3422" s="6" t="s">
        <v>148</v>
      </c>
      <c r="J3422" s="6" t="s">
        <v>164</v>
      </c>
      <c r="K3422" s="7">
        <v>43609</v>
      </c>
      <c r="L3422" s="8">
        <v>0.4694444444444445</v>
      </c>
      <c r="M3422" s="6" t="s">
        <v>3404</v>
      </c>
      <c r="N3422" s="14" t="s">
        <v>21</v>
      </c>
      <c r="O3422" s="6" t="s">
        <v>22</v>
      </c>
    </row>
    <row r="3423" spans="1:15">
      <c r="A3423" s="6" t="s">
        <v>15</v>
      </c>
      <c r="B3423" s="6" t="str">
        <f>"FES1162691466"</f>
        <v>FES1162691466</v>
      </c>
      <c r="C3423" s="7">
        <v>43608</v>
      </c>
      <c r="D3423" s="6">
        <v>1</v>
      </c>
      <c r="E3423" s="6">
        <v>2170689785</v>
      </c>
      <c r="F3423" s="6" t="s">
        <v>16</v>
      </c>
      <c r="G3423" s="6" t="s">
        <v>17</v>
      </c>
      <c r="H3423" s="6" t="s">
        <v>17</v>
      </c>
      <c r="I3423" s="6" t="s">
        <v>148</v>
      </c>
      <c r="J3423" s="6" t="s">
        <v>1457</v>
      </c>
      <c r="K3423" s="7">
        <v>43609</v>
      </c>
      <c r="L3423" s="8">
        <v>0.41319444444444442</v>
      </c>
      <c r="M3423" s="6" t="s">
        <v>4293</v>
      </c>
      <c r="N3423" s="14" t="s">
        <v>21</v>
      </c>
      <c r="O3423" s="6" t="s">
        <v>22</v>
      </c>
    </row>
    <row r="3424" spans="1:15">
      <c r="A3424" s="6" t="s">
        <v>15</v>
      </c>
      <c r="B3424" s="6" t="str">
        <f>"FES1162691598"</f>
        <v>FES1162691598</v>
      </c>
      <c r="C3424" s="7">
        <v>43608</v>
      </c>
      <c r="D3424" s="6">
        <v>1</v>
      </c>
      <c r="E3424" s="6">
        <v>2170689900</v>
      </c>
      <c r="F3424" s="6" t="s">
        <v>16</v>
      </c>
      <c r="G3424" s="6" t="s">
        <v>17</v>
      </c>
      <c r="H3424" s="6" t="s">
        <v>17</v>
      </c>
      <c r="I3424" s="6" t="s">
        <v>64</v>
      </c>
      <c r="J3424" s="6" t="s">
        <v>2006</v>
      </c>
      <c r="K3424" s="7">
        <v>43609</v>
      </c>
      <c r="L3424" s="8">
        <v>0.40347222222222223</v>
      </c>
      <c r="M3424" s="6" t="s">
        <v>4294</v>
      </c>
      <c r="N3424" s="14" t="s">
        <v>21</v>
      </c>
      <c r="O3424" s="6" t="s">
        <v>22</v>
      </c>
    </row>
    <row r="3425" spans="1:15">
      <c r="A3425" s="6" t="s">
        <v>15</v>
      </c>
      <c r="B3425" s="6" t="str">
        <f>"FES1162691453"</f>
        <v>FES1162691453</v>
      </c>
      <c r="C3425" s="7">
        <v>43608</v>
      </c>
      <c r="D3425" s="6">
        <v>1</v>
      </c>
      <c r="E3425" s="6">
        <v>2170688937</v>
      </c>
      <c r="F3425" s="6" t="s">
        <v>16</v>
      </c>
      <c r="G3425" s="6" t="s">
        <v>17</v>
      </c>
      <c r="H3425" s="6" t="s">
        <v>17</v>
      </c>
      <c r="I3425" s="6" t="s">
        <v>64</v>
      </c>
      <c r="J3425" s="6" t="s">
        <v>552</v>
      </c>
      <c r="K3425" s="7">
        <v>43609</v>
      </c>
      <c r="L3425" s="8">
        <v>0.33333333333333331</v>
      </c>
      <c r="M3425" s="6" t="s">
        <v>100</v>
      </c>
      <c r="N3425" s="14" t="s">
        <v>21</v>
      </c>
      <c r="O3425" s="6" t="s">
        <v>22</v>
      </c>
    </row>
    <row r="3426" spans="1:15">
      <c r="A3426" s="6" t="s">
        <v>15</v>
      </c>
      <c r="B3426" s="6" t="str">
        <f>"FES1162691527"</f>
        <v>FES1162691527</v>
      </c>
      <c r="C3426" s="7">
        <v>43608</v>
      </c>
      <c r="D3426" s="6">
        <v>1</v>
      </c>
      <c r="E3426" s="6">
        <v>2170687962</v>
      </c>
      <c r="F3426" s="6" t="s">
        <v>16</v>
      </c>
      <c r="G3426" s="6" t="s">
        <v>17</v>
      </c>
      <c r="H3426" s="6" t="s">
        <v>17</v>
      </c>
      <c r="I3426" s="6" t="s">
        <v>64</v>
      </c>
      <c r="J3426" s="6" t="s">
        <v>116</v>
      </c>
      <c r="K3426" s="7">
        <v>43609</v>
      </c>
      <c r="L3426" s="8">
        <v>0.4375</v>
      </c>
      <c r="M3426" s="6" t="s">
        <v>152</v>
      </c>
      <c r="N3426" s="14" t="s">
        <v>21</v>
      </c>
      <c r="O3426" s="6" t="s">
        <v>22</v>
      </c>
    </row>
    <row r="3427" spans="1:15">
      <c r="A3427" s="6" t="s">
        <v>15</v>
      </c>
      <c r="B3427" s="6" t="str">
        <f>"FES1162691501"</f>
        <v>FES1162691501</v>
      </c>
      <c r="C3427" s="7">
        <v>43608</v>
      </c>
      <c r="D3427" s="6">
        <v>1</v>
      </c>
      <c r="E3427" s="6">
        <v>2170688974</v>
      </c>
      <c r="F3427" s="6" t="s">
        <v>16</v>
      </c>
      <c r="G3427" s="6" t="s">
        <v>17</v>
      </c>
      <c r="H3427" s="6" t="s">
        <v>17</v>
      </c>
      <c r="I3427" s="6" t="s">
        <v>64</v>
      </c>
      <c r="J3427" s="6" t="s">
        <v>65</v>
      </c>
      <c r="K3427" s="7">
        <v>43609</v>
      </c>
      <c r="L3427" s="8">
        <v>0.42499999999999999</v>
      </c>
      <c r="M3427" s="6" t="s">
        <v>4054</v>
      </c>
      <c r="N3427" s="14" t="s">
        <v>21</v>
      </c>
      <c r="O3427" s="6" t="s">
        <v>22</v>
      </c>
    </row>
    <row r="3428" spans="1:15" hidden="1">
      <c r="A3428" s="6" t="s">
        <v>15</v>
      </c>
      <c r="B3428" s="6" t="str">
        <f>"FES1162691459"</f>
        <v>FES1162691459</v>
      </c>
      <c r="C3428" s="7">
        <v>43608</v>
      </c>
      <c r="D3428" s="6">
        <v>1</v>
      </c>
      <c r="E3428" s="6">
        <v>2170689343</v>
      </c>
      <c r="F3428" s="6" t="s">
        <v>16</v>
      </c>
      <c r="G3428" s="6" t="s">
        <v>17</v>
      </c>
      <c r="H3428" s="6" t="s">
        <v>141</v>
      </c>
      <c r="I3428" s="6" t="s">
        <v>142</v>
      </c>
      <c r="J3428" s="6" t="s">
        <v>4025</v>
      </c>
      <c r="K3428" s="7">
        <v>43609</v>
      </c>
      <c r="L3428" s="8">
        <v>0.33194444444444443</v>
      </c>
      <c r="M3428" s="6" t="s">
        <v>4026</v>
      </c>
      <c r="N3428" s="14" t="s">
        <v>21</v>
      </c>
      <c r="O3428" s="6" t="s">
        <v>22</v>
      </c>
    </row>
    <row r="3429" spans="1:15">
      <c r="A3429" s="6" t="s">
        <v>15</v>
      </c>
      <c r="B3429" s="6" t="str">
        <f>"FES1162691510"</f>
        <v>FES1162691510</v>
      </c>
      <c r="C3429" s="7">
        <v>43608</v>
      </c>
      <c r="D3429" s="6">
        <v>1</v>
      </c>
      <c r="E3429" s="6">
        <v>2170689880</v>
      </c>
      <c r="F3429" s="6" t="s">
        <v>16</v>
      </c>
      <c r="G3429" s="6" t="s">
        <v>17</v>
      </c>
      <c r="H3429" s="6" t="s">
        <v>17</v>
      </c>
      <c r="I3429" s="6" t="s">
        <v>23</v>
      </c>
      <c r="J3429" s="6" t="s">
        <v>483</v>
      </c>
      <c r="K3429" s="7">
        <v>43609</v>
      </c>
      <c r="L3429" s="8">
        <v>0.3430555555555555</v>
      </c>
      <c r="M3429" s="6" t="s">
        <v>1016</v>
      </c>
      <c r="N3429" s="14" t="s">
        <v>21</v>
      </c>
      <c r="O3429" s="6" t="s">
        <v>22</v>
      </c>
    </row>
    <row r="3430" spans="1:15">
      <c r="A3430" s="6" t="s">
        <v>15</v>
      </c>
      <c r="B3430" s="6" t="str">
        <f>"FES1162691446"</f>
        <v>FES1162691446</v>
      </c>
      <c r="C3430" s="7">
        <v>43608</v>
      </c>
      <c r="D3430" s="6">
        <v>1</v>
      </c>
      <c r="E3430" s="6">
        <v>2170688285</v>
      </c>
      <c r="F3430" s="6" t="s">
        <v>16</v>
      </c>
      <c r="G3430" s="6" t="s">
        <v>17</v>
      </c>
      <c r="H3430" s="6" t="s">
        <v>17</v>
      </c>
      <c r="I3430" s="6" t="s">
        <v>414</v>
      </c>
      <c r="J3430" s="6" t="s">
        <v>415</v>
      </c>
      <c r="K3430" s="7">
        <v>43609</v>
      </c>
      <c r="L3430" s="8">
        <v>0.33333333333333331</v>
      </c>
      <c r="M3430" s="6" t="s">
        <v>4295</v>
      </c>
      <c r="N3430" s="14" t="s">
        <v>21</v>
      </c>
      <c r="O3430" s="6" t="s">
        <v>22</v>
      </c>
    </row>
    <row r="3431" spans="1:15">
      <c r="A3431" s="6" t="s">
        <v>15</v>
      </c>
      <c r="B3431" s="6" t="str">
        <f>"FES1162691589"</f>
        <v>FES1162691589</v>
      </c>
      <c r="C3431" s="7">
        <v>43608</v>
      </c>
      <c r="D3431" s="6">
        <v>1</v>
      </c>
      <c r="E3431" s="6">
        <v>2170689894</v>
      </c>
      <c r="F3431" s="6" t="s">
        <v>16</v>
      </c>
      <c r="G3431" s="6" t="s">
        <v>17</v>
      </c>
      <c r="H3431" s="6" t="s">
        <v>17</v>
      </c>
      <c r="I3431" s="6" t="s">
        <v>414</v>
      </c>
      <c r="J3431" s="6" t="s">
        <v>609</v>
      </c>
      <c r="K3431" s="7">
        <v>43609</v>
      </c>
      <c r="L3431" s="8">
        <v>0.33333333333333331</v>
      </c>
      <c r="M3431" s="6" t="s">
        <v>4296</v>
      </c>
      <c r="N3431" s="14" t="s">
        <v>21</v>
      </c>
      <c r="O3431" s="6" t="s">
        <v>22</v>
      </c>
    </row>
    <row r="3432" spans="1:15">
      <c r="A3432" s="6" t="s">
        <v>15</v>
      </c>
      <c r="B3432" s="6" t="str">
        <f>"FES1162691573"</f>
        <v>FES1162691573</v>
      </c>
      <c r="C3432" s="7">
        <v>43608</v>
      </c>
      <c r="D3432" s="6">
        <v>1</v>
      </c>
      <c r="E3432" s="6">
        <v>2170688345</v>
      </c>
      <c r="F3432" s="6" t="s">
        <v>16</v>
      </c>
      <c r="G3432" s="6" t="s">
        <v>17</v>
      </c>
      <c r="H3432" s="6" t="s">
        <v>17</v>
      </c>
      <c r="I3432" s="6" t="s">
        <v>414</v>
      </c>
      <c r="J3432" s="6" t="s">
        <v>1083</v>
      </c>
      <c r="K3432" s="7">
        <v>43609</v>
      </c>
      <c r="L3432" s="8">
        <v>0.33333333333333331</v>
      </c>
      <c r="M3432" s="6" t="s">
        <v>1084</v>
      </c>
      <c r="N3432" s="14" t="s">
        <v>21</v>
      </c>
      <c r="O3432" s="6" t="s">
        <v>22</v>
      </c>
    </row>
    <row r="3433" spans="1:15">
      <c r="A3433" s="6" t="s">
        <v>15</v>
      </c>
      <c r="B3433" s="6" t="str">
        <f>"FES1162691468"</f>
        <v>FES1162691468</v>
      </c>
      <c r="C3433" s="7">
        <v>43608</v>
      </c>
      <c r="D3433" s="6">
        <v>1</v>
      </c>
      <c r="E3433" s="6">
        <v>2170689810</v>
      </c>
      <c r="F3433" s="6" t="s">
        <v>16</v>
      </c>
      <c r="G3433" s="6" t="s">
        <v>17</v>
      </c>
      <c r="H3433" s="6" t="s">
        <v>17</v>
      </c>
      <c r="I3433" s="6" t="s">
        <v>421</v>
      </c>
      <c r="J3433" s="6" t="s">
        <v>422</v>
      </c>
      <c r="K3433" s="7">
        <v>43609</v>
      </c>
      <c r="L3433" s="8">
        <v>0.33333333333333331</v>
      </c>
      <c r="M3433" s="6" t="s">
        <v>4297</v>
      </c>
      <c r="N3433" s="14" t="s">
        <v>21</v>
      </c>
      <c r="O3433" s="6" t="s">
        <v>22</v>
      </c>
    </row>
    <row r="3434" spans="1:15" hidden="1">
      <c r="A3434" s="6" t="s">
        <v>15</v>
      </c>
      <c r="B3434" s="6" t="str">
        <f>"FES1162691525"</f>
        <v>FES1162691525</v>
      </c>
      <c r="C3434" s="7">
        <v>43608</v>
      </c>
      <c r="D3434" s="6">
        <v>1</v>
      </c>
      <c r="E3434" s="6">
        <v>2170689754</v>
      </c>
      <c r="F3434" s="6" t="s">
        <v>16</v>
      </c>
      <c r="G3434" s="6" t="s">
        <v>17</v>
      </c>
      <c r="H3434" s="6" t="s">
        <v>32</v>
      </c>
      <c r="I3434" s="6" t="s">
        <v>342</v>
      </c>
      <c r="J3434" s="6" t="s">
        <v>949</v>
      </c>
      <c r="K3434" s="7">
        <v>43609</v>
      </c>
      <c r="L3434" s="8">
        <v>0.33333333333333331</v>
      </c>
      <c r="M3434" s="6" t="s">
        <v>4027</v>
      </c>
      <c r="N3434" s="14" t="s">
        <v>21</v>
      </c>
      <c r="O3434" s="6" t="s">
        <v>22</v>
      </c>
    </row>
    <row r="3435" spans="1:15">
      <c r="A3435" s="6" t="s">
        <v>15</v>
      </c>
      <c r="B3435" s="6" t="str">
        <f>"FES1162691488"</f>
        <v>FES1162691488</v>
      </c>
      <c r="C3435" s="7">
        <v>43608</v>
      </c>
      <c r="D3435" s="6">
        <v>1</v>
      </c>
      <c r="E3435" s="6">
        <v>2170689837</v>
      </c>
      <c r="F3435" s="6" t="s">
        <v>16</v>
      </c>
      <c r="G3435" s="6" t="s">
        <v>17</v>
      </c>
      <c r="H3435" s="6" t="s">
        <v>17</v>
      </c>
      <c r="I3435" s="6" t="s">
        <v>29</v>
      </c>
      <c r="J3435" s="6" t="s">
        <v>963</v>
      </c>
      <c r="K3435" s="7">
        <v>43609</v>
      </c>
      <c r="L3435" s="8">
        <v>0.33333333333333331</v>
      </c>
      <c r="M3435" s="6" t="s">
        <v>714</v>
      </c>
      <c r="N3435" s="14" t="s">
        <v>21</v>
      </c>
      <c r="O3435" s="6" t="s">
        <v>22</v>
      </c>
    </row>
    <row r="3436" spans="1:15">
      <c r="A3436" s="6" t="s">
        <v>15</v>
      </c>
      <c r="B3436" s="6" t="str">
        <f>"FES1162691534"</f>
        <v>FES1162691534</v>
      </c>
      <c r="C3436" s="7">
        <v>43608</v>
      </c>
      <c r="D3436" s="6">
        <v>1</v>
      </c>
      <c r="E3436" s="6">
        <v>2170688017</v>
      </c>
      <c r="F3436" s="6" t="s">
        <v>16</v>
      </c>
      <c r="G3436" s="6" t="s">
        <v>17</v>
      </c>
      <c r="H3436" s="6" t="s">
        <v>17</v>
      </c>
      <c r="I3436" s="6" t="s">
        <v>64</v>
      </c>
      <c r="J3436" s="6" t="s">
        <v>4298</v>
      </c>
      <c r="K3436" s="7">
        <v>43609</v>
      </c>
      <c r="L3436" s="8">
        <v>0.36388888888888887</v>
      </c>
      <c r="M3436" s="6" t="s">
        <v>4299</v>
      </c>
      <c r="N3436" s="14" t="s">
        <v>21</v>
      </c>
      <c r="O3436" s="6" t="s">
        <v>22</v>
      </c>
    </row>
    <row r="3437" spans="1:15">
      <c r="A3437" s="6" t="s">
        <v>15</v>
      </c>
      <c r="B3437" s="6" t="str">
        <f>"FES1162691434"</f>
        <v>FES1162691434</v>
      </c>
      <c r="C3437" s="7">
        <v>43608</v>
      </c>
      <c r="D3437" s="6">
        <v>1</v>
      </c>
      <c r="E3437" s="6">
        <v>2170681880</v>
      </c>
      <c r="F3437" s="6" t="s">
        <v>16</v>
      </c>
      <c r="G3437" s="6" t="s">
        <v>17</v>
      </c>
      <c r="H3437" s="6" t="s">
        <v>17</v>
      </c>
      <c r="I3437" s="6" t="s">
        <v>103</v>
      </c>
      <c r="J3437" s="6" t="s">
        <v>776</v>
      </c>
      <c r="K3437" s="7">
        <v>43609</v>
      </c>
      <c r="L3437" s="8">
        <v>0.4375</v>
      </c>
      <c r="M3437" s="6" t="s">
        <v>3378</v>
      </c>
      <c r="N3437" s="14" t="s">
        <v>21</v>
      </c>
      <c r="O3437" s="6" t="s">
        <v>22</v>
      </c>
    </row>
    <row r="3438" spans="1:15">
      <c r="A3438" s="6" t="s">
        <v>15</v>
      </c>
      <c r="B3438" s="6" t="str">
        <f>"FES1162691556"</f>
        <v>FES1162691556</v>
      </c>
      <c r="C3438" s="7">
        <v>43608</v>
      </c>
      <c r="D3438" s="6">
        <v>1</v>
      </c>
      <c r="E3438" s="6">
        <v>2170688158</v>
      </c>
      <c r="F3438" s="6" t="s">
        <v>16</v>
      </c>
      <c r="G3438" s="6" t="s">
        <v>17</v>
      </c>
      <c r="H3438" s="6" t="s">
        <v>17</v>
      </c>
      <c r="I3438" s="6" t="s">
        <v>23</v>
      </c>
      <c r="J3438" s="6" t="s">
        <v>2367</v>
      </c>
      <c r="K3438" s="7">
        <v>43609</v>
      </c>
      <c r="L3438" s="8">
        <v>0.33333333333333331</v>
      </c>
      <c r="M3438" s="6" t="s">
        <v>4300</v>
      </c>
      <c r="N3438" s="14" t="s">
        <v>21</v>
      </c>
      <c r="O3438" s="6" t="s">
        <v>22</v>
      </c>
    </row>
    <row r="3439" spans="1:15">
      <c r="A3439" s="6" t="s">
        <v>15</v>
      </c>
      <c r="B3439" s="6" t="str">
        <f>"FES1162691579"</f>
        <v>FES1162691579</v>
      </c>
      <c r="C3439" s="7">
        <v>43608</v>
      </c>
      <c r="D3439" s="6">
        <v>1</v>
      </c>
      <c r="E3439" s="6">
        <v>2170688385</v>
      </c>
      <c r="F3439" s="6" t="s">
        <v>16</v>
      </c>
      <c r="G3439" s="6" t="s">
        <v>17</v>
      </c>
      <c r="H3439" s="6" t="s">
        <v>17</v>
      </c>
      <c r="I3439" s="6" t="s">
        <v>610</v>
      </c>
      <c r="J3439" s="6" t="s">
        <v>2046</v>
      </c>
      <c r="K3439" s="7">
        <v>43609</v>
      </c>
      <c r="L3439" s="8">
        <v>0.43611111111111112</v>
      </c>
      <c r="M3439" s="6" t="s">
        <v>2047</v>
      </c>
      <c r="N3439" s="14" t="s">
        <v>21</v>
      </c>
      <c r="O3439" s="6" t="s">
        <v>22</v>
      </c>
    </row>
    <row r="3440" spans="1:15">
      <c r="A3440" s="6" t="s">
        <v>15</v>
      </c>
      <c r="B3440" s="6" t="str">
        <f>"FES1162691571"</f>
        <v>FES1162691571</v>
      </c>
      <c r="C3440" s="7">
        <v>43608</v>
      </c>
      <c r="D3440" s="6">
        <v>1</v>
      </c>
      <c r="E3440" s="6">
        <v>2170688333</v>
      </c>
      <c r="F3440" s="6" t="s">
        <v>16</v>
      </c>
      <c r="G3440" s="6" t="s">
        <v>17</v>
      </c>
      <c r="H3440" s="6" t="s">
        <v>17</v>
      </c>
      <c r="I3440" s="6" t="s">
        <v>103</v>
      </c>
      <c r="J3440" s="6" t="s">
        <v>616</v>
      </c>
      <c r="K3440" s="7">
        <v>43609</v>
      </c>
      <c r="L3440" s="8">
        <v>0.4375</v>
      </c>
      <c r="M3440" s="6" t="s">
        <v>4301</v>
      </c>
      <c r="N3440" s="14" t="s">
        <v>21</v>
      </c>
      <c r="O3440" s="6" t="s">
        <v>22</v>
      </c>
    </row>
    <row r="3441" spans="1:15" hidden="1">
      <c r="A3441" s="6" t="s">
        <v>15</v>
      </c>
      <c r="B3441" s="6" t="str">
        <f>"FES1162691432"</f>
        <v>FES1162691432</v>
      </c>
      <c r="C3441" s="7">
        <v>43608</v>
      </c>
      <c r="D3441" s="6">
        <v>1</v>
      </c>
      <c r="E3441" s="6">
        <v>2170689530</v>
      </c>
      <c r="F3441" s="6" t="s">
        <v>16</v>
      </c>
      <c r="G3441" s="6" t="s">
        <v>17</v>
      </c>
      <c r="H3441" s="6" t="s">
        <v>32</v>
      </c>
      <c r="I3441" s="6" t="s">
        <v>33</v>
      </c>
      <c r="J3441" s="6" t="s">
        <v>34</v>
      </c>
      <c r="K3441" s="7">
        <v>43609</v>
      </c>
      <c r="L3441" s="8">
        <v>0.38541666666666669</v>
      </c>
      <c r="M3441" s="6" t="s">
        <v>3880</v>
      </c>
      <c r="N3441" s="14" t="s">
        <v>21</v>
      </c>
      <c r="O3441" s="6" t="s">
        <v>22</v>
      </c>
    </row>
    <row r="3442" spans="1:15" hidden="1">
      <c r="A3442" s="6" t="s">
        <v>15</v>
      </c>
      <c r="B3442" s="6" t="str">
        <f>"FES1162691444"</f>
        <v>FES1162691444</v>
      </c>
      <c r="C3442" s="7">
        <v>43608</v>
      </c>
      <c r="D3442" s="6">
        <v>1</v>
      </c>
      <c r="E3442" s="6">
        <v>2170688167</v>
      </c>
      <c r="F3442" s="6" t="s">
        <v>16</v>
      </c>
      <c r="G3442" s="6" t="s">
        <v>17</v>
      </c>
      <c r="H3442" s="6" t="s">
        <v>32</v>
      </c>
      <c r="I3442" s="6" t="s">
        <v>269</v>
      </c>
      <c r="J3442" s="6" t="s">
        <v>683</v>
      </c>
      <c r="K3442" s="7">
        <v>43609</v>
      </c>
      <c r="L3442" s="8">
        <v>0.34722222222222227</v>
      </c>
      <c r="M3442" s="6" t="s">
        <v>684</v>
      </c>
      <c r="N3442" s="14" t="s">
        <v>21</v>
      </c>
      <c r="O3442" s="6" t="s">
        <v>22</v>
      </c>
    </row>
    <row r="3443" spans="1:15" hidden="1">
      <c r="A3443" s="6" t="s">
        <v>15</v>
      </c>
      <c r="B3443" s="6" t="str">
        <f>"FES1162691481"</f>
        <v>FES1162691481</v>
      </c>
      <c r="C3443" s="7">
        <v>43608</v>
      </c>
      <c r="D3443" s="6">
        <v>1</v>
      </c>
      <c r="E3443" s="6">
        <v>2170689842</v>
      </c>
      <c r="F3443" s="6" t="s">
        <v>16</v>
      </c>
      <c r="G3443" s="6" t="s">
        <v>17</v>
      </c>
      <c r="H3443" s="6" t="s">
        <v>32</v>
      </c>
      <c r="I3443" s="6" t="s">
        <v>33</v>
      </c>
      <c r="J3443" s="6" t="s">
        <v>357</v>
      </c>
      <c r="K3443" s="7">
        <v>43609</v>
      </c>
      <c r="L3443" s="8">
        <v>0.38194444444444442</v>
      </c>
      <c r="M3443" s="6" t="s">
        <v>2201</v>
      </c>
      <c r="N3443" s="14" t="s">
        <v>21</v>
      </c>
      <c r="O3443" s="6" t="s">
        <v>22</v>
      </c>
    </row>
    <row r="3444" spans="1:15" hidden="1">
      <c r="A3444" s="6" t="s">
        <v>15</v>
      </c>
      <c r="B3444" s="6" t="str">
        <f>"FES1162691431"</f>
        <v>FES1162691431</v>
      </c>
      <c r="C3444" s="7">
        <v>43608</v>
      </c>
      <c r="D3444" s="6">
        <v>1</v>
      </c>
      <c r="E3444" s="6">
        <v>2170689544</v>
      </c>
      <c r="F3444" s="6" t="s">
        <v>16</v>
      </c>
      <c r="G3444" s="6" t="s">
        <v>17</v>
      </c>
      <c r="H3444" s="6" t="s">
        <v>32</v>
      </c>
      <c r="I3444" s="6" t="s">
        <v>33</v>
      </c>
      <c r="J3444" s="6" t="s">
        <v>34</v>
      </c>
      <c r="K3444" s="7">
        <v>43609</v>
      </c>
      <c r="L3444" s="8">
        <v>0.38750000000000001</v>
      </c>
      <c r="M3444" s="6" t="s">
        <v>3880</v>
      </c>
      <c r="N3444" s="14" t="s">
        <v>21</v>
      </c>
      <c r="O3444" s="6" t="s">
        <v>22</v>
      </c>
    </row>
    <row r="3445" spans="1:15" hidden="1">
      <c r="A3445" s="6" t="s">
        <v>15</v>
      </c>
      <c r="B3445" s="6" t="str">
        <f>"FES1162691479"</f>
        <v>FES1162691479</v>
      </c>
      <c r="C3445" s="7">
        <v>43608</v>
      </c>
      <c r="D3445" s="6">
        <v>1</v>
      </c>
      <c r="E3445" s="6">
        <v>2170689840</v>
      </c>
      <c r="F3445" s="6" t="s">
        <v>16</v>
      </c>
      <c r="G3445" s="6" t="s">
        <v>17</v>
      </c>
      <c r="H3445" s="6" t="s">
        <v>32</v>
      </c>
      <c r="I3445" s="6" t="s">
        <v>342</v>
      </c>
      <c r="J3445" s="6" t="s">
        <v>949</v>
      </c>
      <c r="K3445" s="7">
        <v>43609</v>
      </c>
      <c r="L3445" s="8">
        <v>0.33333333333333331</v>
      </c>
      <c r="M3445" s="6" t="s">
        <v>4027</v>
      </c>
      <c r="N3445" s="14" t="s">
        <v>21</v>
      </c>
      <c r="O3445" s="6" t="s">
        <v>22</v>
      </c>
    </row>
    <row r="3446" spans="1:15">
      <c r="A3446" s="6" t="s">
        <v>15</v>
      </c>
      <c r="B3446" s="6" t="str">
        <f>"FES1162691503"</f>
        <v>FES1162691503</v>
      </c>
      <c r="C3446" s="7">
        <v>43608</v>
      </c>
      <c r="D3446" s="6">
        <v>1</v>
      </c>
      <c r="E3446" s="6">
        <v>2170689876</v>
      </c>
      <c r="F3446" s="6" t="s">
        <v>16</v>
      </c>
      <c r="G3446" s="6" t="s">
        <v>17</v>
      </c>
      <c r="H3446" s="6" t="s">
        <v>17</v>
      </c>
      <c r="I3446" s="6" t="s">
        <v>64</v>
      </c>
      <c r="J3446" s="6" t="s">
        <v>116</v>
      </c>
      <c r="K3446" s="7">
        <v>43609</v>
      </c>
      <c r="L3446" s="8">
        <v>0.4375</v>
      </c>
      <c r="M3446" s="6" t="s">
        <v>152</v>
      </c>
      <c r="N3446" s="14" t="s">
        <v>21</v>
      </c>
      <c r="O3446" s="6" t="s">
        <v>22</v>
      </c>
    </row>
    <row r="3447" spans="1:15">
      <c r="A3447" s="6" t="s">
        <v>15</v>
      </c>
      <c r="B3447" s="6" t="str">
        <f>"FES1162691465"</f>
        <v>FES1162691465</v>
      </c>
      <c r="C3447" s="7">
        <v>43608</v>
      </c>
      <c r="D3447" s="6">
        <v>1</v>
      </c>
      <c r="E3447" s="6">
        <v>2170689753</v>
      </c>
      <c r="F3447" s="6" t="s">
        <v>16</v>
      </c>
      <c r="G3447" s="6" t="s">
        <v>17</v>
      </c>
      <c r="H3447" s="6" t="s">
        <v>17</v>
      </c>
      <c r="I3447" s="6" t="s">
        <v>103</v>
      </c>
      <c r="J3447" s="6" t="s">
        <v>104</v>
      </c>
      <c r="K3447" s="7">
        <v>43609</v>
      </c>
      <c r="L3447" s="8">
        <v>0.4375</v>
      </c>
      <c r="M3447" s="6" t="s">
        <v>325</v>
      </c>
      <c r="N3447" s="14" t="s">
        <v>21</v>
      </c>
      <c r="O3447" s="6" t="s">
        <v>22</v>
      </c>
    </row>
    <row r="3448" spans="1:15">
      <c r="A3448" s="6" t="s">
        <v>15</v>
      </c>
      <c r="B3448" s="6" t="str">
        <f>"FES1162691530"</f>
        <v>FES1162691530</v>
      </c>
      <c r="C3448" s="7">
        <v>43608</v>
      </c>
      <c r="D3448" s="6">
        <v>1</v>
      </c>
      <c r="E3448" s="6">
        <v>2170688001</v>
      </c>
      <c r="F3448" s="6" t="s">
        <v>16</v>
      </c>
      <c r="G3448" s="6" t="s">
        <v>17</v>
      </c>
      <c r="H3448" s="6" t="s">
        <v>17</v>
      </c>
      <c r="I3448" s="6" t="s">
        <v>103</v>
      </c>
      <c r="J3448" s="6" t="s">
        <v>4302</v>
      </c>
      <c r="K3448" s="7">
        <v>43609</v>
      </c>
      <c r="L3448" s="8">
        <v>0.3034722222222222</v>
      </c>
      <c r="M3448" s="6" t="s">
        <v>4303</v>
      </c>
      <c r="N3448" s="14" t="s">
        <v>21</v>
      </c>
      <c r="O3448" s="6" t="s">
        <v>22</v>
      </c>
    </row>
    <row r="3449" spans="1:15" hidden="1">
      <c r="A3449" s="6" t="s">
        <v>15</v>
      </c>
      <c r="B3449" s="6" t="str">
        <f>"FES1162691597"</f>
        <v>FES1162691597</v>
      </c>
      <c r="C3449" s="7">
        <v>43608</v>
      </c>
      <c r="D3449" s="6">
        <v>1</v>
      </c>
      <c r="E3449" s="6">
        <v>2170689899</v>
      </c>
      <c r="F3449" s="6" t="s">
        <v>16</v>
      </c>
      <c r="G3449" s="6" t="s">
        <v>17</v>
      </c>
      <c r="H3449" s="6" t="s">
        <v>43</v>
      </c>
      <c r="I3449" s="6" t="s">
        <v>44</v>
      </c>
      <c r="J3449" s="6" t="s">
        <v>336</v>
      </c>
      <c r="K3449" s="7">
        <v>43609</v>
      </c>
      <c r="L3449" s="8">
        <v>0.36805555555555558</v>
      </c>
      <c r="M3449" s="6" t="s">
        <v>1502</v>
      </c>
      <c r="N3449" s="14" t="s">
        <v>21</v>
      </c>
      <c r="O3449" s="6" t="s">
        <v>22</v>
      </c>
    </row>
    <row r="3450" spans="1:15">
      <c r="A3450" s="6" t="s">
        <v>15</v>
      </c>
      <c r="B3450" s="6" t="str">
        <f>"FES1162691550"</f>
        <v>FES1162691550</v>
      </c>
      <c r="C3450" s="7">
        <v>43608</v>
      </c>
      <c r="D3450" s="6">
        <v>1</v>
      </c>
      <c r="E3450" s="6">
        <v>2170688118</v>
      </c>
      <c r="F3450" s="6" t="s">
        <v>16</v>
      </c>
      <c r="G3450" s="6" t="s">
        <v>17</v>
      </c>
      <c r="H3450" s="6" t="s">
        <v>17</v>
      </c>
      <c r="I3450" s="6" t="s">
        <v>23</v>
      </c>
      <c r="J3450" s="6" t="s">
        <v>70</v>
      </c>
      <c r="K3450" s="7">
        <v>43609</v>
      </c>
      <c r="L3450" s="8">
        <v>0.30416666666666664</v>
      </c>
      <c r="M3450" s="6" t="s">
        <v>1845</v>
      </c>
      <c r="N3450" s="14" t="s">
        <v>21</v>
      </c>
      <c r="O3450" s="6" t="s">
        <v>22</v>
      </c>
    </row>
    <row r="3451" spans="1:15">
      <c r="A3451" s="6" t="s">
        <v>15</v>
      </c>
      <c r="B3451" s="6" t="str">
        <f>"FES1162691541"</f>
        <v>FES1162691541</v>
      </c>
      <c r="C3451" s="7">
        <v>43608</v>
      </c>
      <c r="D3451" s="6">
        <v>1</v>
      </c>
      <c r="E3451" s="6">
        <v>2170688056</v>
      </c>
      <c r="F3451" s="6" t="s">
        <v>16</v>
      </c>
      <c r="G3451" s="6" t="s">
        <v>17</v>
      </c>
      <c r="H3451" s="6" t="s">
        <v>17</v>
      </c>
      <c r="I3451" s="6" t="s">
        <v>23</v>
      </c>
      <c r="J3451" s="6" t="s">
        <v>2591</v>
      </c>
      <c r="K3451" s="7">
        <v>43609</v>
      </c>
      <c r="L3451" s="8">
        <v>0.3430555555555555</v>
      </c>
      <c r="M3451" s="6" t="s">
        <v>4304</v>
      </c>
      <c r="N3451" s="14" t="s">
        <v>21</v>
      </c>
      <c r="O3451" s="6" t="s">
        <v>22</v>
      </c>
    </row>
    <row r="3452" spans="1:15">
      <c r="A3452" s="6" t="s">
        <v>15</v>
      </c>
      <c r="B3452" s="6" t="str">
        <f>"FES1162691480"</f>
        <v>FES1162691480</v>
      </c>
      <c r="C3452" s="7">
        <v>43608</v>
      </c>
      <c r="D3452" s="6">
        <v>1</v>
      </c>
      <c r="E3452" s="6">
        <v>2170689841</v>
      </c>
      <c r="F3452" s="6" t="s">
        <v>16</v>
      </c>
      <c r="G3452" s="6" t="s">
        <v>17</v>
      </c>
      <c r="H3452" s="6" t="s">
        <v>17</v>
      </c>
      <c r="I3452" s="6" t="s">
        <v>18</v>
      </c>
      <c r="J3452" s="6" t="s">
        <v>19</v>
      </c>
      <c r="K3452" s="7">
        <v>43609</v>
      </c>
      <c r="L3452" s="8">
        <v>0.36944444444444446</v>
      </c>
      <c r="M3452" s="6" t="s">
        <v>4305</v>
      </c>
      <c r="N3452" s="14" t="s">
        <v>21</v>
      </c>
      <c r="O3452" s="6" t="s">
        <v>22</v>
      </c>
    </row>
    <row r="3453" spans="1:15" hidden="1">
      <c r="A3453" s="6" t="s">
        <v>15</v>
      </c>
      <c r="B3453" s="6" t="str">
        <f>"FES1162691489"</f>
        <v>FES1162691489</v>
      </c>
      <c r="C3453" s="7">
        <v>43608</v>
      </c>
      <c r="D3453" s="6">
        <v>1</v>
      </c>
      <c r="E3453" s="6">
        <v>2170689489</v>
      </c>
      <c r="F3453" s="6" t="s">
        <v>16</v>
      </c>
      <c r="G3453" s="6" t="s">
        <v>17</v>
      </c>
      <c r="H3453" s="6" t="s">
        <v>32</v>
      </c>
      <c r="I3453" s="6" t="s">
        <v>33</v>
      </c>
      <c r="J3453" s="6" t="s">
        <v>506</v>
      </c>
      <c r="K3453" s="7">
        <v>43609</v>
      </c>
      <c r="L3453" s="8">
        <v>0.3263888888888889</v>
      </c>
      <c r="M3453" s="6" t="s">
        <v>4031</v>
      </c>
      <c r="N3453" s="14" t="s">
        <v>21</v>
      </c>
      <c r="O3453" s="6" t="s">
        <v>22</v>
      </c>
    </row>
    <row r="3454" spans="1:15">
      <c r="A3454" s="6" t="s">
        <v>15</v>
      </c>
      <c r="B3454" s="6" t="str">
        <f>"FES1162691548"</f>
        <v>FES1162691548</v>
      </c>
      <c r="C3454" s="7">
        <v>43608</v>
      </c>
      <c r="D3454" s="6">
        <v>1</v>
      </c>
      <c r="E3454" s="6">
        <v>2170688105</v>
      </c>
      <c r="F3454" s="6" t="s">
        <v>16</v>
      </c>
      <c r="G3454" s="6" t="s">
        <v>17</v>
      </c>
      <c r="H3454" s="6" t="s">
        <v>17</v>
      </c>
      <c r="I3454" s="6" t="s">
        <v>421</v>
      </c>
      <c r="J3454" s="6" t="s">
        <v>2586</v>
      </c>
      <c r="K3454" s="7">
        <v>43612</v>
      </c>
      <c r="L3454" s="8">
        <v>0.33333333333333331</v>
      </c>
      <c r="M3454" s="6" t="s">
        <v>4306</v>
      </c>
      <c r="N3454" s="14" t="s">
        <v>21</v>
      </c>
      <c r="O3454" s="6" t="s">
        <v>22</v>
      </c>
    </row>
    <row r="3455" spans="1:15" hidden="1">
      <c r="A3455" s="6" t="s">
        <v>15</v>
      </c>
      <c r="B3455" s="6" t="str">
        <f>"FES1162691628"</f>
        <v>FES1162691628</v>
      </c>
      <c r="C3455" s="7">
        <v>43608</v>
      </c>
      <c r="D3455" s="6">
        <v>1</v>
      </c>
      <c r="E3455" s="6">
        <v>2170689928</v>
      </c>
      <c r="F3455" s="6" t="s">
        <v>16</v>
      </c>
      <c r="G3455" s="6" t="s">
        <v>17</v>
      </c>
      <c r="H3455" s="6" t="s">
        <v>43</v>
      </c>
      <c r="I3455" s="6" t="s">
        <v>75</v>
      </c>
      <c r="J3455" s="6" t="s">
        <v>222</v>
      </c>
      <c r="K3455" s="7">
        <v>43609</v>
      </c>
      <c r="L3455" s="8">
        <v>0.4680555555555555</v>
      </c>
      <c r="M3455" s="6" t="s">
        <v>223</v>
      </c>
      <c r="N3455" s="14" t="s">
        <v>21</v>
      </c>
      <c r="O3455" s="6" t="s">
        <v>22</v>
      </c>
    </row>
    <row r="3456" spans="1:15" hidden="1">
      <c r="A3456" s="6" t="s">
        <v>15</v>
      </c>
      <c r="B3456" s="6" t="str">
        <f>"FES1162691532"</f>
        <v>FES1162691532</v>
      </c>
      <c r="C3456" s="7">
        <v>43608</v>
      </c>
      <c r="D3456" s="6">
        <v>1</v>
      </c>
      <c r="E3456" s="6">
        <v>21706880077</v>
      </c>
      <c r="F3456" s="6" t="s">
        <v>16</v>
      </c>
      <c r="G3456" s="6" t="s">
        <v>17</v>
      </c>
      <c r="H3456" s="6" t="s">
        <v>37</v>
      </c>
      <c r="I3456" s="6" t="s">
        <v>38</v>
      </c>
      <c r="J3456" s="6" t="s">
        <v>766</v>
      </c>
      <c r="K3456" s="7">
        <v>43609</v>
      </c>
      <c r="L3456" s="8">
        <v>0.36041666666666666</v>
      </c>
      <c r="M3456" s="6" t="s">
        <v>1247</v>
      </c>
      <c r="N3456" s="14" t="s">
        <v>21</v>
      </c>
      <c r="O3456" s="6" t="s">
        <v>22</v>
      </c>
    </row>
    <row r="3457" spans="1:15" hidden="1">
      <c r="A3457" s="6" t="s">
        <v>15</v>
      </c>
      <c r="B3457" s="6" t="str">
        <f>"FES1162691602"</f>
        <v>FES1162691602</v>
      </c>
      <c r="C3457" s="7">
        <v>43608</v>
      </c>
      <c r="D3457" s="6">
        <v>1</v>
      </c>
      <c r="E3457" s="6">
        <v>2170689906</v>
      </c>
      <c r="F3457" s="6" t="s">
        <v>16</v>
      </c>
      <c r="G3457" s="6" t="s">
        <v>17</v>
      </c>
      <c r="H3457" s="6" t="s">
        <v>43</v>
      </c>
      <c r="I3457" s="6" t="s">
        <v>44</v>
      </c>
      <c r="J3457" s="6" t="s">
        <v>231</v>
      </c>
      <c r="K3457" s="7">
        <v>43609</v>
      </c>
      <c r="L3457" s="8">
        <v>0.35555555555555557</v>
      </c>
      <c r="M3457" s="6" t="s">
        <v>232</v>
      </c>
      <c r="N3457" s="14" t="s">
        <v>21</v>
      </c>
      <c r="O3457" s="6" t="s">
        <v>22</v>
      </c>
    </row>
    <row r="3458" spans="1:15" hidden="1">
      <c r="A3458" s="6" t="s">
        <v>15</v>
      </c>
      <c r="B3458" s="6" t="str">
        <f>"FES1162691508"</f>
        <v>FES1162691508</v>
      </c>
      <c r="C3458" s="7">
        <v>43608</v>
      </c>
      <c r="D3458" s="6">
        <v>1</v>
      </c>
      <c r="E3458" s="6">
        <v>2170689652</v>
      </c>
      <c r="F3458" s="6" t="s">
        <v>58</v>
      </c>
      <c r="G3458" s="6" t="s">
        <v>59</v>
      </c>
      <c r="H3458" s="6" t="s">
        <v>59</v>
      </c>
      <c r="I3458" s="6" t="s">
        <v>148</v>
      </c>
      <c r="J3458" s="6" t="s">
        <v>4036</v>
      </c>
      <c r="K3458" s="7">
        <v>43609</v>
      </c>
      <c r="L3458" s="8">
        <v>0.4236111111111111</v>
      </c>
      <c r="M3458" s="6" t="s">
        <v>4037</v>
      </c>
      <c r="N3458" s="14" t="s">
        <v>21</v>
      </c>
      <c r="O3458" s="6" t="s">
        <v>22</v>
      </c>
    </row>
    <row r="3459" spans="1:15" hidden="1">
      <c r="A3459" s="6" t="s">
        <v>15</v>
      </c>
      <c r="B3459" s="6" t="str">
        <f>"FES1162691461"</f>
        <v>FES1162691461</v>
      </c>
      <c r="C3459" s="7">
        <v>43608</v>
      </c>
      <c r="D3459" s="6">
        <v>1</v>
      </c>
      <c r="E3459" s="6">
        <v>2170689590</v>
      </c>
      <c r="F3459" s="6" t="s">
        <v>16</v>
      </c>
      <c r="G3459" s="6" t="s">
        <v>17</v>
      </c>
      <c r="H3459" s="6" t="s">
        <v>37</v>
      </c>
      <c r="I3459" s="6" t="s">
        <v>38</v>
      </c>
      <c r="J3459" s="6" t="s">
        <v>1204</v>
      </c>
      <c r="K3459" s="7">
        <v>43609</v>
      </c>
      <c r="L3459" s="8">
        <v>0.41666666666666669</v>
      </c>
      <c r="M3459" s="6" t="s">
        <v>4039</v>
      </c>
      <c r="N3459" s="14" t="s">
        <v>21</v>
      </c>
      <c r="O3459" s="6" t="s">
        <v>22</v>
      </c>
    </row>
    <row r="3460" spans="1:15" hidden="1">
      <c r="A3460" s="6" t="s">
        <v>15</v>
      </c>
      <c r="B3460" s="6" t="str">
        <f>"FES1162691457"</f>
        <v>FES1162691457</v>
      </c>
      <c r="C3460" s="7">
        <v>43608</v>
      </c>
      <c r="D3460" s="6">
        <v>1</v>
      </c>
      <c r="E3460" s="6">
        <v>2170689299</v>
      </c>
      <c r="F3460" s="6" t="s">
        <v>16</v>
      </c>
      <c r="G3460" s="6" t="s">
        <v>17</v>
      </c>
      <c r="H3460" s="6" t="s">
        <v>43</v>
      </c>
      <c r="I3460" s="6" t="s">
        <v>75</v>
      </c>
      <c r="J3460" s="6" t="s">
        <v>811</v>
      </c>
      <c r="K3460" s="7">
        <v>43609</v>
      </c>
      <c r="L3460" s="8">
        <v>0.47569444444444442</v>
      </c>
      <c r="M3460" s="6" t="s">
        <v>1167</v>
      </c>
      <c r="N3460" s="14" t="s">
        <v>21</v>
      </c>
      <c r="O3460" s="6" t="s">
        <v>22</v>
      </c>
    </row>
    <row r="3461" spans="1:15" hidden="1">
      <c r="A3461" s="6" t="s">
        <v>15</v>
      </c>
      <c r="B3461" s="6" t="str">
        <f>"FES1162688186"</f>
        <v>FES1162688186</v>
      </c>
      <c r="C3461" s="7">
        <v>43608</v>
      </c>
      <c r="D3461" s="6">
        <v>1</v>
      </c>
      <c r="E3461" s="6">
        <v>2170682160</v>
      </c>
      <c r="F3461" s="6" t="s">
        <v>16</v>
      </c>
      <c r="G3461" s="6" t="s">
        <v>17</v>
      </c>
      <c r="H3461" s="6" t="s">
        <v>32</v>
      </c>
      <c r="I3461" s="6" t="s">
        <v>33</v>
      </c>
      <c r="J3461" s="6" t="s">
        <v>34</v>
      </c>
      <c r="K3461" s="7">
        <v>43609</v>
      </c>
      <c r="L3461" s="8">
        <v>0.34375</v>
      </c>
      <c r="M3461" s="6" t="s">
        <v>3880</v>
      </c>
      <c r="N3461" s="14" t="s">
        <v>21</v>
      </c>
      <c r="O3461" s="6" t="s">
        <v>22</v>
      </c>
    </row>
    <row r="3462" spans="1:15" hidden="1">
      <c r="A3462" s="6" t="s">
        <v>15</v>
      </c>
      <c r="B3462" s="6" t="str">
        <f>"FES1162688341"</f>
        <v>FES1162688341</v>
      </c>
      <c r="C3462" s="7">
        <v>43608</v>
      </c>
      <c r="D3462" s="6">
        <v>1</v>
      </c>
      <c r="E3462" s="6">
        <v>2170684794</v>
      </c>
      <c r="F3462" s="6" t="s">
        <v>16</v>
      </c>
      <c r="G3462" s="6" t="s">
        <v>17</v>
      </c>
      <c r="H3462" s="6" t="s">
        <v>32</v>
      </c>
      <c r="I3462" s="6" t="s">
        <v>33</v>
      </c>
      <c r="J3462" s="6" t="s">
        <v>34</v>
      </c>
      <c r="K3462" s="7">
        <v>43609</v>
      </c>
      <c r="L3462" s="8">
        <v>0.4909722222222222</v>
      </c>
      <c r="M3462" s="6" t="s">
        <v>3880</v>
      </c>
      <c r="N3462" s="14" t="s">
        <v>21</v>
      </c>
      <c r="O3462" s="6" t="s">
        <v>22</v>
      </c>
    </row>
    <row r="3463" spans="1:15" hidden="1">
      <c r="A3463" s="6" t="s">
        <v>15</v>
      </c>
      <c r="B3463" s="6" t="str">
        <f>"FES1162691519"</f>
        <v>FES1162691519</v>
      </c>
      <c r="C3463" s="7">
        <v>43608</v>
      </c>
      <c r="D3463" s="6">
        <v>1</v>
      </c>
      <c r="E3463" s="6">
        <v>2170685963</v>
      </c>
      <c r="F3463" s="6" t="s">
        <v>16</v>
      </c>
      <c r="G3463" s="6" t="s">
        <v>17</v>
      </c>
      <c r="H3463" s="6" t="s">
        <v>43</v>
      </c>
      <c r="I3463" s="6" t="s">
        <v>44</v>
      </c>
      <c r="J3463" s="6" t="s">
        <v>48</v>
      </c>
      <c r="K3463" s="7">
        <v>43609</v>
      </c>
      <c r="L3463" s="8">
        <v>0.33263888888888887</v>
      </c>
      <c r="M3463" s="6" t="s">
        <v>1650</v>
      </c>
      <c r="N3463" s="14" t="s">
        <v>21</v>
      </c>
      <c r="O3463" s="6" t="s">
        <v>22</v>
      </c>
    </row>
    <row r="3464" spans="1:15">
      <c r="A3464" s="6" t="s">
        <v>15</v>
      </c>
      <c r="B3464" s="6" t="str">
        <f>"FES1162691498"</f>
        <v>FES1162691498</v>
      </c>
      <c r="C3464" s="7">
        <v>43608</v>
      </c>
      <c r="D3464" s="6">
        <v>1</v>
      </c>
      <c r="E3464" s="6">
        <v>2170689869</v>
      </c>
      <c r="F3464" s="6" t="s">
        <v>16</v>
      </c>
      <c r="G3464" s="6" t="s">
        <v>17</v>
      </c>
      <c r="H3464" s="6" t="s">
        <v>17</v>
      </c>
      <c r="I3464" s="6" t="s">
        <v>18</v>
      </c>
      <c r="J3464" s="6" t="s">
        <v>19</v>
      </c>
      <c r="K3464" s="7">
        <v>43609</v>
      </c>
      <c r="L3464" s="8">
        <v>0.36874999999999997</v>
      </c>
      <c r="M3464" s="6" t="s">
        <v>1978</v>
      </c>
      <c r="N3464" s="14" t="s">
        <v>21</v>
      </c>
      <c r="O3464" s="6" t="s">
        <v>494</v>
      </c>
    </row>
    <row r="3465" spans="1:15" hidden="1">
      <c r="A3465" s="6" t="s">
        <v>15</v>
      </c>
      <c r="B3465" s="6" t="str">
        <f>"FES1162691436"</f>
        <v>FES1162691436</v>
      </c>
      <c r="C3465" s="7">
        <v>43608</v>
      </c>
      <c r="D3465" s="6">
        <v>2</v>
      </c>
      <c r="E3465" s="6">
        <v>2170684601</v>
      </c>
      <c r="F3465" s="6" t="s">
        <v>58</v>
      </c>
      <c r="G3465" s="6" t="s">
        <v>59</v>
      </c>
      <c r="H3465" s="6" t="s">
        <v>43</v>
      </c>
      <c r="I3465" s="6" t="s">
        <v>75</v>
      </c>
      <c r="J3465" s="6" t="s">
        <v>811</v>
      </c>
      <c r="K3465" s="7">
        <v>43612</v>
      </c>
      <c r="L3465" s="8">
        <v>0.60972222222222217</v>
      </c>
      <c r="M3465" s="6" t="s">
        <v>4101</v>
      </c>
      <c r="N3465" s="14" t="s">
        <v>21</v>
      </c>
      <c r="O3465" s="6" t="s">
        <v>22</v>
      </c>
    </row>
    <row r="3466" spans="1:15" hidden="1">
      <c r="A3466" s="6" t="s">
        <v>15</v>
      </c>
      <c r="B3466" s="6" t="str">
        <f>"FES1162691430"</f>
        <v>FES1162691430</v>
      </c>
      <c r="C3466" s="7">
        <v>43608</v>
      </c>
      <c r="D3466" s="6">
        <v>1</v>
      </c>
      <c r="E3466" s="6">
        <v>2170689018</v>
      </c>
      <c r="F3466" s="6" t="s">
        <v>58</v>
      </c>
      <c r="G3466" s="6" t="s">
        <v>59</v>
      </c>
      <c r="H3466" s="6" t="s">
        <v>2986</v>
      </c>
      <c r="I3466" s="6" t="s">
        <v>309</v>
      </c>
      <c r="J3466" s="6" t="s">
        <v>1037</v>
      </c>
      <c r="K3466" s="7">
        <v>43609</v>
      </c>
      <c r="L3466" s="8">
        <v>0.35416666666666669</v>
      </c>
      <c r="M3466" s="6" t="s">
        <v>1334</v>
      </c>
      <c r="N3466" s="14" t="s">
        <v>21</v>
      </c>
      <c r="O3466" s="6" t="s">
        <v>22</v>
      </c>
    </row>
    <row r="3467" spans="1:15" hidden="1">
      <c r="A3467" s="6" t="s">
        <v>15</v>
      </c>
      <c r="B3467" s="6" t="str">
        <f>"FES1162691630"</f>
        <v>FES1162691630</v>
      </c>
      <c r="C3467" s="7">
        <v>43608</v>
      </c>
      <c r="D3467" s="6">
        <v>1</v>
      </c>
      <c r="E3467" s="6">
        <v>2170689937</v>
      </c>
      <c r="F3467" s="6" t="s">
        <v>16</v>
      </c>
      <c r="G3467" s="6" t="s">
        <v>17</v>
      </c>
      <c r="H3467" s="6" t="s">
        <v>43</v>
      </c>
      <c r="I3467" s="6" t="s">
        <v>44</v>
      </c>
      <c r="J3467" s="6" t="s">
        <v>938</v>
      </c>
      <c r="K3467" s="7">
        <v>43609</v>
      </c>
      <c r="L3467" s="8">
        <v>0.33958333333333335</v>
      </c>
      <c r="M3467" s="6" t="s">
        <v>939</v>
      </c>
      <c r="N3467" s="14" t="s">
        <v>21</v>
      </c>
      <c r="O3467" s="6" t="s">
        <v>22</v>
      </c>
    </row>
    <row r="3468" spans="1:15" hidden="1">
      <c r="A3468" s="6" t="s">
        <v>15</v>
      </c>
      <c r="B3468" s="6" t="str">
        <f>"FES1162691448"</f>
        <v>FES1162691448</v>
      </c>
      <c r="C3468" s="7">
        <v>43608</v>
      </c>
      <c r="D3468" s="6">
        <v>1</v>
      </c>
      <c r="E3468" s="6">
        <v>2170688354</v>
      </c>
      <c r="F3468" s="6" t="s">
        <v>16</v>
      </c>
      <c r="G3468" s="6" t="s">
        <v>17</v>
      </c>
      <c r="H3468" s="6" t="s">
        <v>141</v>
      </c>
      <c r="I3468" s="6" t="s">
        <v>448</v>
      </c>
      <c r="J3468" s="6" t="s">
        <v>449</v>
      </c>
      <c r="K3468" s="7">
        <v>43609</v>
      </c>
      <c r="L3468" s="8">
        <v>0.34652777777777777</v>
      </c>
      <c r="M3468" s="6" t="s">
        <v>4047</v>
      </c>
      <c r="N3468" s="14" t="s">
        <v>21</v>
      </c>
      <c r="O3468" s="6" t="s">
        <v>22</v>
      </c>
    </row>
    <row r="3469" spans="1:15" hidden="1">
      <c r="A3469" s="6" t="s">
        <v>15</v>
      </c>
      <c r="B3469" s="6" t="str">
        <f>"FES1162691450"</f>
        <v>FES1162691450</v>
      </c>
      <c r="C3469" s="7">
        <v>43608</v>
      </c>
      <c r="D3469" s="6">
        <v>1</v>
      </c>
      <c r="E3469" s="6">
        <v>21706878764</v>
      </c>
      <c r="F3469" s="6" t="s">
        <v>16</v>
      </c>
      <c r="G3469" s="6" t="s">
        <v>17</v>
      </c>
      <c r="H3469" s="6" t="s">
        <v>132</v>
      </c>
      <c r="I3469" s="6" t="s">
        <v>133</v>
      </c>
      <c r="J3469" s="6" t="s">
        <v>3274</v>
      </c>
      <c r="K3469" s="7">
        <v>43609</v>
      </c>
      <c r="L3469" s="8">
        <v>0.43194444444444446</v>
      </c>
      <c r="M3469" s="6" t="s">
        <v>3275</v>
      </c>
      <c r="N3469" s="14" t="s">
        <v>21</v>
      </c>
      <c r="O3469" s="6" t="s">
        <v>22</v>
      </c>
    </row>
    <row r="3470" spans="1:15" hidden="1">
      <c r="A3470" s="6" t="s">
        <v>15</v>
      </c>
      <c r="B3470" s="6" t="str">
        <f>"FES1162691433"</f>
        <v>FES1162691433</v>
      </c>
      <c r="C3470" s="7">
        <v>43608</v>
      </c>
      <c r="D3470" s="6">
        <v>1</v>
      </c>
      <c r="E3470" s="6">
        <v>21706897261</v>
      </c>
      <c r="F3470" s="6" t="s">
        <v>16</v>
      </c>
      <c r="G3470" s="6" t="s">
        <v>17</v>
      </c>
      <c r="H3470" s="6" t="s">
        <v>141</v>
      </c>
      <c r="I3470" s="6" t="s">
        <v>142</v>
      </c>
      <c r="J3470" s="6" t="s">
        <v>3921</v>
      </c>
      <c r="K3470" s="7">
        <v>43609</v>
      </c>
      <c r="L3470" s="8">
        <v>0.4236111111111111</v>
      </c>
      <c r="M3470" s="6" t="s">
        <v>4050</v>
      </c>
      <c r="N3470" s="14" t="s">
        <v>21</v>
      </c>
      <c r="O3470" s="6" t="s">
        <v>22</v>
      </c>
    </row>
    <row r="3471" spans="1:15" hidden="1">
      <c r="A3471" s="6" t="s">
        <v>15</v>
      </c>
      <c r="B3471" s="6" t="str">
        <f>"FES1162691458"</f>
        <v>FES1162691458</v>
      </c>
      <c r="C3471" s="7">
        <v>43608</v>
      </c>
      <c r="D3471" s="6">
        <v>1</v>
      </c>
      <c r="E3471" s="6">
        <v>2170689326</v>
      </c>
      <c r="F3471" s="6" t="s">
        <v>16</v>
      </c>
      <c r="G3471" s="6" t="s">
        <v>17</v>
      </c>
      <c r="H3471" s="6" t="s">
        <v>32</v>
      </c>
      <c r="I3471" s="6" t="s">
        <v>269</v>
      </c>
      <c r="J3471" s="6" t="s">
        <v>1568</v>
      </c>
      <c r="K3471" s="7">
        <v>43609</v>
      </c>
      <c r="L3471" s="8">
        <v>0.3444444444444445</v>
      </c>
      <c r="M3471" s="6" t="s">
        <v>1114</v>
      </c>
      <c r="N3471" s="14" t="s">
        <v>21</v>
      </c>
      <c r="O3471" s="6" t="s">
        <v>22</v>
      </c>
    </row>
    <row r="3472" spans="1:15" hidden="1">
      <c r="A3472" s="6" t="s">
        <v>15</v>
      </c>
      <c r="B3472" s="6" t="str">
        <f>"FES1162691600"</f>
        <v>FES1162691600</v>
      </c>
      <c r="C3472" s="7">
        <v>43608</v>
      </c>
      <c r="D3472" s="6">
        <v>1</v>
      </c>
      <c r="E3472" s="6">
        <v>2170689902</v>
      </c>
      <c r="F3472" s="6" t="s">
        <v>16</v>
      </c>
      <c r="G3472" s="6" t="s">
        <v>17</v>
      </c>
      <c r="H3472" s="6" t="s">
        <v>32</v>
      </c>
      <c r="I3472" s="6" t="s">
        <v>33</v>
      </c>
      <c r="J3472" s="6" t="s">
        <v>3223</v>
      </c>
      <c r="K3472" s="7">
        <v>43609</v>
      </c>
      <c r="L3472" s="8">
        <v>0.35833333333333334</v>
      </c>
      <c r="M3472" s="6" t="s">
        <v>3656</v>
      </c>
      <c r="N3472" s="14" t="s">
        <v>21</v>
      </c>
      <c r="O3472" s="6" t="s">
        <v>22</v>
      </c>
    </row>
    <row r="3473" spans="1:15" hidden="1">
      <c r="A3473" s="6" t="s">
        <v>15</v>
      </c>
      <c r="B3473" s="6" t="str">
        <f>"FES1162691663"</f>
        <v>FES1162691663</v>
      </c>
      <c r="C3473" s="7">
        <v>43608</v>
      </c>
      <c r="D3473" s="6">
        <v>1</v>
      </c>
      <c r="E3473" s="6">
        <v>2170689967</v>
      </c>
      <c r="F3473" s="6" t="s">
        <v>16</v>
      </c>
      <c r="G3473" s="6" t="s">
        <v>17</v>
      </c>
      <c r="H3473" s="6" t="s">
        <v>141</v>
      </c>
      <c r="I3473" s="6" t="s">
        <v>185</v>
      </c>
      <c r="J3473" s="6" t="s">
        <v>353</v>
      </c>
      <c r="K3473" s="7">
        <v>43609</v>
      </c>
      <c r="L3473" s="8">
        <v>0.37708333333333338</v>
      </c>
      <c r="M3473" s="6" t="s">
        <v>1272</v>
      </c>
      <c r="N3473" s="14" t="s">
        <v>21</v>
      </c>
      <c r="O3473" s="6" t="s">
        <v>22</v>
      </c>
    </row>
    <row r="3474" spans="1:15" hidden="1">
      <c r="A3474" s="6" t="s">
        <v>15</v>
      </c>
      <c r="B3474" s="6" t="str">
        <f>"FES1162691613"</f>
        <v>FES1162691613</v>
      </c>
      <c r="C3474" s="7">
        <v>43608</v>
      </c>
      <c r="D3474" s="6">
        <v>1</v>
      </c>
      <c r="E3474" s="6">
        <v>2170689918</v>
      </c>
      <c r="F3474" s="6" t="s">
        <v>16</v>
      </c>
      <c r="G3474" s="6" t="s">
        <v>17</v>
      </c>
      <c r="H3474" s="6" t="s">
        <v>43</v>
      </c>
      <c r="I3474" s="6" t="s">
        <v>44</v>
      </c>
      <c r="J3474" s="6" t="s">
        <v>48</v>
      </c>
      <c r="K3474" s="7">
        <v>43609</v>
      </c>
      <c r="L3474" s="8">
        <v>0.33263888888888887</v>
      </c>
      <c r="M3474" s="6" t="s">
        <v>1650</v>
      </c>
      <c r="N3474" s="14" t="s">
        <v>21</v>
      </c>
      <c r="O3474" s="6" t="s">
        <v>22</v>
      </c>
    </row>
    <row r="3475" spans="1:15">
      <c r="A3475" s="6" t="s">
        <v>15</v>
      </c>
      <c r="B3475" s="6" t="str">
        <f>"FES1162691625"</f>
        <v>FES1162691625</v>
      </c>
      <c r="C3475" s="7">
        <v>43608</v>
      </c>
      <c r="D3475" s="6">
        <v>1</v>
      </c>
      <c r="E3475" s="6">
        <v>2170689933</v>
      </c>
      <c r="F3475" s="6" t="s">
        <v>16</v>
      </c>
      <c r="G3475" s="6" t="s">
        <v>17</v>
      </c>
      <c r="H3475" s="6" t="s">
        <v>17</v>
      </c>
      <c r="I3475" s="6" t="s">
        <v>18</v>
      </c>
      <c r="J3475" s="6" t="s">
        <v>19</v>
      </c>
      <c r="K3475" s="7">
        <v>43609</v>
      </c>
      <c r="L3475" s="8">
        <v>0.36805555555555558</v>
      </c>
      <c r="M3475" s="6" t="s">
        <v>4305</v>
      </c>
      <c r="N3475" s="14" t="s">
        <v>21</v>
      </c>
      <c r="O3475" s="6" t="s">
        <v>22</v>
      </c>
    </row>
    <row r="3476" spans="1:15">
      <c r="A3476" s="6" t="s">
        <v>15</v>
      </c>
      <c r="B3476" s="6" t="str">
        <f>"FES1162691622"</f>
        <v>FES1162691622</v>
      </c>
      <c r="C3476" s="7">
        <v>43608</v>
      </c>
      <c r="D3476" s="6">
        <v>1</v>
      </c>
      <c r="E3476" s="6">
        <v>2170689930</v>
      </c>
      <c r="F3476" s="6" t="s">
        <v>16</v>
      </c>
      <c r="G3476" s="6" t="s">
        <v>17</v>
      </c>
      <c r="H3476" s="6" t="s">
        <v>17</v>
      </c>
      <c r="I3476" s="6" t="s">
        <v>18</v>
      </c>
      <c r="J3476" s="6" t="s">
        <v>1033</v>
      </c>
      <c r="K3476" s="7">
        <v>43609</v>
      </c>
      <c r="L3476" s="8">
        <v>0.41111111111111115</v>
      </c>
      <c r="M3476" s="6" t="s">
        <v>325</v>
      </c>
      <c r="N3476" s="14" t="s">
        <v>21</v>
      </c>
      <c r="O3476" s="6" t="s">
        <v>22</v>
      </c>
    </row>
    <row r="3477" spans="1:15">
      <c r="A3477" s="6" t="s">
        <v>15</v>
      </c>
      <c r="B3477" s="6" t="str">
        <f>"FES1162691561"</f>
        <v>FES1162691561</v>
      </c>
      <c r="C3477" s="7">
        <v>43608</v>
      </c>
      <c r="D3477" s="6">
        <v>1</v>
      </c>
      <c r="E3477" s="6">
        <v>2170688192</v>
      </c>
      <c r="F3477" s="6" t="s">
        <v>16</v>
      </c>
      <c r="G3477" s="6" t="s">
        <v>17</v>
      </c>
      <c r="H3477" s="6" t="s">
        <v>17</v>
      </c>
      <c r="I3477" s="6" t="s">
        <v>18</v>
      </c>
      <c r="J3477" s="6" t="s">
        <v>19</v>
      </c>
      <c r="K3477" s="7">
        <v>43609</v>
      </c>
      <c r="L3477" s="8">
        <v>0.36736111111111108</v>
      </c>
      <c r="M3477" s="6" t="s">
        <v>4305</v>
      </c>
      <c r="N3477" s="14" t="s">
        <v>21</v>
      </c>
      <c r="O3477" s="6" t="s">
        <v>22</v>
      </c>
    </row>
    <row r="3478" spans="1:15" hidden="1">
      <c r="A3478" s="6" t="s">
        <v>15</v>
      </c>
      <c r="B3478" s="6" t="str">
        <f>"FES1162691443"</f>
        <v>FES1162691443</v>
      </c>
      <c r="C3478" s="7">
        <v>43608</v>
      </c>
      <c r="D3478" s="6">
        <v>1</v>
      </c>
      <c r="E3478" s="6">
        <v>2170687514</v>
      </c>
      <c r="F3478" s="6" t="s">
        <v>16</v>
      </c>
      <c r="G3478" s="6" t="s">
        <v>17</v>
      </c>
      <c r="H3478" s="6" t="s">
        <v>59</v>
      </c>
      <c r="I3478" s="6" t="s">
        <v>18</v>
      </c>
      <c r="J3478" s="6" t="s">
        <v>3870</v>
      </c>
      <c r="K3478" s="7">
        <v>43609</v>
      </c>
      <c r="L3478" s="8">
        <v>0.33333333333333331</v>
      </c>
      <c r="M3478" s="6" t="s">
        <v>4052</v>
      </c>
      <c r="N3478" s="14" t="s">
        <v>21</v>
      </c>
      <c r="O3478" s="6" t="s">
        <v>22</v>
      </c>
    </row>
    <row r="3479" spans="1:15">
      <c r="A3479" s="6" t="s">
        <v>15</v>
      </c>
      <c r="B3479" s="6" t="str">
        <f>"FES1162691606"</f>
        <v>FES1162691606</v>
      </c>
      <c r="C3479" s="7">
        <v>43608</v>
      </c>
      <c r="D3479" s="6">
        <v>1</v>
      </c>
      <c r="E3479" s="6">
        <v>2170689911</v>
      </c>
      <c r="F3479" s="6" t="s">
        <v>16</v>
      </c>
      <c r="G3479" s="6" t="s">
        <v>17</v>
      </c>
      <c r="H3479" s="6" t="s">
        <v>17</v>
      </c>
      <c r="I3479" s="6" t="s">
        <v>67</v>
      </c>
      <c r="J3479" s="6" t="s">
        <v>1621</v>
      </c>
      <c r="K3479" s="7">
        <v>43609</v>
      </c>
      <c r="L3479" s="8">
        <v>0.3527777777777778</v>
      </c>
      <c r="M3479" s="6" t="s">
        <v>1622</v>
      </c>
      <c r="N3479" s="14" t="s">
        <v>21</v>
      </c>
      <c r="O3479" s="6" t="s">
        <v>22</v>
      </c>
    </row>
    <row r="3480" spans="1:15">
      <c r="A3480" s="6" t="s">
        <v>15</v>
      </c>
      <c r="B3480" s="6" t="str">
        <f>"FES1162691560"</f>
        <v>FES1162691560</v>
      </c>
      <c r="C3480" s="7">
        <v>43608</v>
      </c>
      <c r="D3480" s="6">
        <v>1</v>
      </c>
      <c r="E3480" s="6">
        <v>2170688189</v>
      </c>
      <c r="F3480" s="6" t="s">
        <v>16</v>
      </c>
      <c r="G3480" s="6" t="s">
        <v>17</v>
      </c>
      <c r="H3480" s="6" t="s">
        <v>17</v>
      </c>
      <c r="I3480" s="6" t="s">
        <v>18</v>
      </c>
      <c r="J3480" s="6" t="s">
        <v>4307</v>
      </c>
      <c r="K3480" s="7">
        <v>43609</v>
      </c>
      <c r="L3480" s="8">
        <v>0.35069444444444442</v>
      </c>
      <c r="M3480" s="6" t="s">
        <v>4308</v>
      </c>
      <c r="N3480" s="14" t="s">
        <v>21</v>
      </c>
      <c r="O3480" s="6" t="s">
        <v>22</v>
      </c>
    </row>
    <row r="3481" spans="1:15">
      <c r="A3481" s="6" t="s">
        <v>15</v>
      </c>
      <c r="B3481" s="6" t="str">
        <f>"FES1162691605"</f>
        <v>FES1162691605</v>
      </c>
      <c r="C3481" s="7">
        <v>43608</v>
      </c>
      <c r="D3481" s="6">
        <v>1</v>
      </c>
      <c r="E3481" s="6">
        <v>2170689909</v>
      </c>
      <c r="F3481" s="6" t="s">
        <v>16</v>
      </c>
      <c r="G3481" s="6" t="s">
        <v>17</v>
      </c>
      <c r="H3481" s="6" t="s">
        <v>17</v>
      </c>
      <c r="I3481" s="6" t="s">
        <v>64</v>
      </c>
      <c r="J3481" s="6" t="s">
        <v>155</v>
      </c>
      <c r="K3481" s="7">
        <v>43609</v>
      </c>
      <c r="L3481" s="8">
        <v>0.33333333333333331</v>
      </c>
      <c r="M3481" s="6" t="s">
        <v>2116</v>
      </c>
      <c r="N3481" s="14" t="s">
        <v>21</v>
      </c>
      <c r="O3481" s="6" t="s">
        <v>22</v>
      </c>
    </row>
    <row r="3482" spans="1:15" hidden="1">
      <c r="A3482" s="6" t="s">
        <v>15</v>
      </c>
      <c r="B3482" s="6" t="str">
        <f>"FES1162691612"</f>
        <v>FES1162691612</v>
      </c>
      <c r="C3482" s="7">
        <v>43608</v>
      </c>
      <c r="D3482" s="6">
        <v>1</v>
      </c>
      <c r="E3482" s="6">
        <v>2170689917</v>
      </c>
      <c r="F3482" s="6" t="s">
        <v>16</v>
      </c>
      <c r="G3482" s="6" t="s">
        <v>17</v>
      </c>
      <c r="H3482" s="6" t="s">
        <v>43</v>
      </c>
      <c r="I3482" s="6" t="s">
        <v>44</v>
      </c>
      <c r="J3482" s="6" t="s">
        <v>748</v>
      </c>
      <c r="K3482" s="7">
        <v>43609</v>
      </c>
      <c r="L3482" s="8">
        <v>0.41666666666666669</v>
      </c>
      <c r="M3482" s="6" t="s">
        <v>3834</v>
      </c>
      <c r="N3482" s="14" t="s">
        <v>21</v>
      </c>
      <c r="O3482" s="6" t="s">
        <v>22</v>
      </c>
    </row>
    <row r="3483" spans="1:15" hidden="1">
      <c r="A3483" s="6" t="s">
        <v>15</v>
      </c>
      <c r="B3483" s="6" t="str">
        <f>"FES1162691611"</f>
        <v>FES1162691611</v>
      </c>
      <c r="C3483" s="7">
        <v>43608</v>
      </c>
      <c r="D3483" s="6">
        <v>1</v>
      </c>
      <c r="E3483" s="6">
        <v>2170689913</v>
      </c>
      <c r="F3483" s="6" t="s">
        <v>16</v>
      </c>
      <c r="G3483" s="6" t="s">
        <v>17</v>
      </c>
      <c r="H3483" s="6" t="s">
        <v>43</v>
      </c>
      <c r="I3483" s="6" t="s">
        <v>44</v>
      </c>
      <c r="J3483" s="6" t="s">
        <v>336</v>
      </c>
      <c r="K3483" s="7">
        <v>43609</v>
      </c>
      <c r="L3483" s="8">
        <v>0.3666666666666667</v>
      </c>
      <c r="M3483" s="6" t="s">
        <v>1502</v>
      </c>
      <c r="N3483" s="14" t="s">
        <v>21</v>
      </c>
      <c r="O3483" s="6" t="s">
        <v>22</v>
      </c>
    </row>
    <row r="3484" spans="1:15" hidden="1">
      <c r="A3484" s="6" t="s">
        <v>15</v>
      </c>
      <c r="B3484" s="6" t="str">
        <f>"FES1162691590"</f>
        <v>FES1162691590</v>
      </c>
      <c r="C3484" s="7">
        <v>43608</v>
      </c>
      <c r="D3484" s="6">
        <v>1</v>
      </c>
      <c r="E3484" s="6">
        <v>2170689895</v>
      </c>
      <c r="F3484" s="6" t="s">
        <v>58</v>
      </c>
      <c r="G3484" s="6" t="s">
        <v>59</v>
      </c>
      <c r="H3484" s="6" t="s">
        <v>59</v>
      </c>
      <c r="I3484" s="6" t="s">
        <v>64</v>
      </c>
      <c r="J3484" s="6" t="s">
        <v>65</v>
      </c>
      <c r="K3484" s="7">
        <v>43609</v>
      </c>
      <c r="L3484" s="8">
        <v>0.42499999999999999</v>
      </c>
      <c r="M3484" s="6" t="s">
        <v>4054</v>
      </c>
      <c r="N3484" s="14" t="s">
        <v>21</v>
      </c>
      <c r="O3484" s="6" t="s">
        <v>22</v>
      </c>
    </row>
    <row r="3485" spans="1:15">
      <c r="A3485" s="6" t="s">
        <v>15</v>
      </c>
      <c r="B3485" s="6" t="str">
        <f>"FES1162691526"</f>
        <v>FES1162691526</v>
      </c>
      <c r="C3485" s="7">
        <v>43608</v>
      </c>
      <c r="D3485" s="6">
        <v>1</v>
      </c>
      <c r="E3485" s="6">
        <v>2170687958</v>
      </c>
      <c r="F3485" s="6" t="s">
        <v>16</v>
      </c>
      <c r="G3485" s="6" t="s">
        <v>17</v>
      </c>
      <c r="H3485" s="6" t="s">
        <v>17</v>
      </c>
      <c r="I3485" s="6" t="s">
        <v>1984</v>
      </c>
      <c r="J3485" s="6" t="s">
        <v>1985</v>
      </c>
      <c r="K3485" s="7">
        <v>43609</v>
      </c>
      <c r="L3485" s="8">
        <v>0.48680555555555555</v>
      </c>
      <c r="M3485" s="6" t="s">
        <v>1986</v>
      </c>
      <c r="N3485" s="14" t="s">
        <v>21</v>
      </c>
      <c r="O3485" s="6" t="s">
        <v>22</v>
      </c>
    </row>
    <row r="3486" spans="1:15">
      <c r="A3486" s="6" t="s">
        <v>15</v>
      </c>
      <c r="B3486" s="6" t="str">
        <f>"FES1162691568"</f>
        <v>FES1162691568</v>
      </c>
      <c r="C3486" s="7">
        <v>43608</v>
      </c>
      <c r="D3486" s="6">
        <v>1</v>
      </c>
      <c r="E3486" s="6">
        <v>2170688283</v>
      </c>
      <c r="F3486" s="6" t="s">
        <v>16</v>
      </c>
      <c r="G3486" s="6" t="s">
        <v>17</v>
      </c>
      <c r="H3486" s="6" t="s">
        <v>17</v>
      </c>
      <c r="I3486" s="6" t="s">
        <v>414</v>
      </c>
      <c r="J3486" s="6" t="s">
        <v>4309</v>
      </c>
      <c r="K3486" s="7">
        <v>43609</v>
      </c>
      <c r="L3486" s="8">
        <v>0.33333333333333331</v>
      </c>
      <c r="M3486" s="6" t="s">
        <v>4310</v>
      </c>
      <c r="N3486" s="14" t="s">
        <v>21</v>
      </c>
      <c r="O3486" s="6" t="s">
        <v>22</v>
      </c>
    </row>
    <row r="3487" spans="1:15">
      <c r="A3487" s="6" t="s">
        <v>15</v>
      </c>
      <c r="B3487" s="6" t="str">
        <f>"FES1162691511"</f>
        <v>FES1162691511</v>
      </c>
      <c r="C3487" s="7">
        <v>43608</v>
      </c>
      <c r="D3487" s="6">
        <v>1</v>
      </c>
      <c r="E3487" s="6">
        <v>2170689882</v>
      </c>
      <c r="F3487" s="6" t="s">
        <v>16</v>
      </c>
      <c r="G3487" s="6" t="s">
        <v>17</v>
      </c>
      <c r="H3487" s="6" t="s">
        <v>17</v>
      </c>
      <c r="I3487" s="6" t="s">
        <v>701</v>
      </c>
      <c r="J3487" s="6" t="s">
        <v>2208</v>
      </c>
      <c r="K3487" s="7">
        <v>43609</v>
      </c>
      <c r="L3487" s="8">
        <v>0.34097222222222223</v>
      </c>
      <c r="M3487" s="6" t="s">
        <v>3261</v>
      </c>
      <c r="N3487" s="14" t="s">
        <v>21</v>
      </c>
      <c r="O3487" s="6" t="s">
        <v>22</v>
      </c>
    </row>
    <row r="3488" spans="1:15">
      <c r="A3488" s="6" t="s">
        <v>15</v>
      </c>
      <c r="B3488" s="6" t="str">
        <f>"FES1162691473"</f>
        <v>FES1162691473</v>
      </c>
      <c r="C3488" s="7">
        <v>43608</v>
      </c>
      <c r="D3488" s="6">
        <v>1</v>
      </c>
      <c r="E3488" s="6">
        <v>2170689823</v>
      </c>
      <c r="F3488" s="6" t="s">
        <v>16</v>
      </c>
      <c r="G3488" s="6" t="s">
        <v>17</v>
      </c>
      <c r="H3488" s="6" t="s">
        <v>17</v>
      </c>
      <c r="I3488" s="6" t="s">
        <v>148</v>
      </c>
      <c r="J3488" s="6" t="s">
        <v>164</v>
      </c>
      <c r="K3488" s="7">
        <v>43609</v>
      </c>
      <c r="L3488" s="8">
        <v>0.46875</v>
      </c>
      <c r="M3488" s="6" t="s">
        <v>3404</v>
      </c>
      <c r="N3488" s="14" t="s">
        <v>21</v>
      </c>
      <c r="O3488" s="6" t="s">
        <v>22</v>
      </c>
    </row>
    <row r="3489" spans="1:15" hidden="1">
      <c r="A3489" s="6" t="s">
        <v>15</v>
      </c>
      <c r="B3489" s="6" t="str">
        <f>"FES1162691497"</f>
        <v>FES1162691497</v>
      </c>
      <c r="C3489" s="7">
        <v>43608</v>
      </c>
      <c r="D3489" s="6">
        <v>1</v>
      </c>
      <c r="E3489" s="6">
        <v>2170689866</v>
      </c>
      <c r="F3489" s="6" t="s">
        <v>16</v>
      </c>
      <c r="G3489" s="6" t="s">
        <v>17</v>
      </c>
      <c r="H3489" s="6" t="s">
        <v>32</v>
      </c>
      <c r="I3489" s="6" t="s">
        <v>342</v>
      </c>
      <c r="J3489" s="6" t="s">
        <v>343</v>
      </c>
      <c r="K3489" s="7">
        <v>43609</v>
      </c>
      <c r="L3489" s="8">
        <v>0.35625000000000001</v>
      </c>
      <c r="M3489" s="6" t="s">
        <v>4055</v>
      </c>
      <c r="N3489" s="14" t="s">
        <v>21</v>
      </c>
      <c r="O3489" s="6" t="s">
        <v>22</v>
      </c>
    </row>
    <row r="3490" spans="1:15">
      <c r="A3490" s="6" t="s">
        <v>15</v>
      </c>
      <c r="B3490" s="6" t="str">
        <f>"FES1162691494"</f>
        <v>FES1162691494</v>
      </c>
      <c r="C3490" s="7">
        <v>43608</v>
      </c>
      <c r="D3490" s="6">
        <v>1</v>
      </c>
      <c r="E3490" s="6">
        <v>2170689859</v>
      </c>
      <c r="F3490" s="6" t="s">
        <v>16</v>
      </c>
      <c r="G3490" s="6" t="s">
        <v>17</v>
      </c>
      <c r="H3490" s="6" t="s">
        <v>17</v>
      </c>
      <c r="I3490" s="6" t="s">
        <v>18</v>
      </c>
      <c r="J3490" s="6" t="s">
        <v>19</v>
      </c>
      <c r="K3490" s="7">
        <v>43609</v>
      </c>
      <c r="L3490" s="8">
        <v>0.4069444444444445</v>
      </c>
      <c r="M3490" s="6" t="s">
        <v>4311</v>
      </c>
      <c r="N3490" s="14" t="s">
        <v>21</v>
      </c>
      <c r="O3490" s="6" t="s">
        <v>22</v>
      </c>
    </row>
    <row r="3491" spans="1:15">
      <c r="A3491" s="6" t="s">
        <v>15</v>
      </c>
      <c r="B3491" s="6" t="str">
        <f>"FES1162691523"</f>
        <v>FES1162691523</v>
      </c>
      <c r="C3491" s="7">
        <v>43608</v>
      </c>
      <c r="D3491" s="6">
        <v>1</v>
      </c>
      <c r="E3491" s="6">
        <v>2170687771</v>
      </c>
      <c r="F3491" s="6" t="s">
        <v>16</v>
      </c>
      <c r="G3491" s="6" t="s">
        <v>17</v>
      </c>
      <c r="H3491" s="6" t="s">
        <v>17</v>
      </c>
      <c r="I3491" s="6" t="s">
        <v>81</v>
      </c>
      <c r="J3491" s="6" t="s">
        <v>3808</v>
      </c>
      <c r="K3491" s="7">
        <v>43609</v>
      </c>
      <c r="L3491" s="8">
        <v>0.36874999999999997</v>
      </c>
      <c r="M3491" s="6" t="s">
        <v>4312</v>
      </c>
      <c r="N3491" s="14" t="s">
        <v>21</v>
      </c>
      <c r="O3491" s="6" t="s">
        <v>22</v>
      </c>
    </row>
    <row r="3492" spans="1:15" hidden="1">
      <c r="A3492" s="6" t="s">
        <v>15</v>
      </c>
      <c r="B3492" s="6" t="str">
        <f>"FES1162691533"</f>
        <v>FES1162691533</v>
      </c>
      <c r="C3492" s="7">
        <v>43608</v>
      </c>
      <c r="D3492" s="6">
        <v>2</v>
      </c>
      <c r="E3492" s="6">
        <v>2170688016</v>
      </c>
      <c r="F3492" s="6" t="s">
        <v>58</v>
      </c>
      <c r="G3492" s="6" t="s">
        <v>59</v>
      </c>
      <c r="H3492" s="6" t="s">
        <v>59</v>
      </c>
      <c r="I3492" s="6" t="s">
        <v>701</v>
      </c>
      <c r="J3492" s="6" t="s">
        <v>2603</v>
      </c>
      <c r="K3492" s="7">
        <v>43609</v>
      </c>
      <c r="L3492" s="8">
        <v>0.36249999999999999</v>
      </c>
      <c r="M3492" s="6" t="s">
        <v>4313</v>
      </c>
      <c r="N3492" s="14" t="s">
        <v>21</v>
      </c>
      <c r="O3492" s="6" t="s">
        <v>22</v>
      </c>
    </row>
    <row r="3493" spans="1:15">
      <c r="A3493" s="6" t="s">
        <v>15</v>
      </c>
      <c r="B3493" s="6" t="str">
        <f>"FES1162691464"</f>
        <v>FES1162691464</v>
      </c>
      <c r="C3493" s="7">
        <v>43608</v>
      </c>
      <c r="D3493" s="6">
        <v>1</v>
      </c>
      <c r="E3493" s="6">
        <v>2170689687</v>
      </c>
      <c r="F3493" s="6" t="s">
        <v>16</v>
      </c>
      <c r="G3493" s="6" t="s">
        <v>17</v>
      </c>
      <c r="H3493" s="6" t="s">
        <v>17</v>
      </c>
      <c r="I3493" s="6" t="s">
        <v>18</v>
      </c>
      <c r="J3493" s="6" t="s">
        <v>19</v>
      </c>
      <c r="K3493" s="7">
        <v>43609</v>
      </c>
      <c r="L3493" s="8">
        <v>0.36874999999999997</v>
      </c>
      <c r="M3493" s="6" t="s">
        <v>4314</v>
      </c>
      <c r="N3493" s="14" t="s">
        <v>21</v>
      </c>
      <c r="O3493" s="6" t="s">
        <v>22</v>
      </c>
    </row>
    <row r="3494" spans="1:15" hidden="1">
      <c r="A3494" s="6" t="s">
        <v>15</v>
      </c>
      <c r="B3494" s="6" t="str">
        <f>"FES1162691654"</f>
        <v>FES1162691654</v>
      </c>
      <c r="C3494" s="7">
        <v>43608</v>
      </c>
      <c r="D3494" s="6">
        <v>1</v>
      </c>
      <c r="E3494" s="6">
        <v>2170689960</v>
      </c>
      <c r="F3494" s="6" t="s">
        <v>16</v>
      </c>
      <c r="G3494" s="6" t="s">
        <v>17</v>
      </c>
      <c r="H3494" s="6" t="s">
        <v>43</v>
      </c>
      <c r="I3494" s="6" t="s">
        <v>44</v>
      </c>
      <c r="J3494" s="6" t="s">
        <v>2509</v>
      </c>
      <c r="K3494" s="7">
        <v>43609</v>
      </c>
      <c r="L3494" s="8">
        <v>0.35833333333333334</v>
      </c>
      <c r="M3494" s="6" t="s">
        <v>4018</v>
      </c>
      <c r="N3494" s="14" t="s">
        <v>21</v>
      </c>
      <c r="O3494" s="6" t="s">
        <v>22</v>
      </c>
    </row>
    <row r="3495" spans="1:15" hidden="1">
      <c r="A3495" s="6" t="s">
        <v>15</v>
      </c>
      <c r="B3495" s="6" t="str">
        <f>"FES1162691647"</f>
        <v>FES1162691647</v>
      </c>
      <c r="C3495" s="7">
        <v>43608</v>
      </c>
      <c r="D3495" s="6">
        <v>1</v>
      </c>
      <c r="E3495" s="6">
        <v>2170689950</v>
      </c>
      <c r="F3495" s="6" t="s">
        <v>16</v>
      </c>
      <c r="G3495" s="6" t="s">
        <v>17</v>
      </c>
      <c r="H3495" s="6" t="s">
        <v>43</v>
      </c>
      <c r="I3495" s="6" t="s">
        <v>44</v>
      </c>
      <c r="J3495" s="6" t="s">
        <v>2509</v>
      </c>
      <c r="K3495" s="7">
        <v>43609</v>
      </c>
      <c r="L3495" s="8">
        <v>0.35833333333333334</v>
      </c>
      <c r="M3495" s="6" t="s">
        <v>4018</v>
      </c>
      <c r="N3495" s="14" t="s">
        <v>21</v>
      </c>
      <c r="O3495" s="6" t="s">
        <v>22</v>
      </c>
    </row>
    <row r="3496" spans="1:15" hidden="1">
      <c r="A3496" s="6" t="s">
        <v>15</v>
      </c>
      <c r="B3496" s="6" t="str">
        <f>"FES1162691642"</f>
        <v>FES1162691642</v>
      </c>
      <c r="C3496" s="7">
        <v>43608</v>
      </c>
      <c r="D3496" s="6">
        <v>1</v>
      </c>
      <c r="E3496" s="6">
        <v>2170688447</v>
      </c>
      <c r="F3496" s="6" t="s">
        <v>16</v>
      </c>
      <c r="G3496" s="6" t="s">
        <v>17</v>
      </c>
      <c r="H3496" s="6" t="s">
        <v>43</v>
      </c>
      <c r="I3496" s="6" t="s">
        <v>44</v>
      </c>
      <c r="J3496" s="6" t="s">
        <v>938</v>
      </c>
      <c r="K3496" s="7">
        <v>43609</v>
      </c>
      <c r="L3496" s="8">
        <v>0.33958333333333335</v>
      </c>
      <c r="M3496" s="6" t="s">
        <v>939</v>
      </c>
      <c r="N3496" s="14" t="s">
        <v>21</v>
      </c>
      <c r="O3496" s="6" t="s">
        <v>22</v>
      </c>
    </row>
    <row r="3497" spans="1:15" hidden="1">
      <c r="A3497" s="6" t="s">
        <v>15</v>
      </c>
      <c r="B3497" s="6" t="str">
        <f>"FES1162691517"</f>
        <v>FES1162691517</v>
      </c>
      <c r="C3497" s="7">
        <v>43608</v>
      </c>
      <c r="D3497" s="6">
        <v>1</v>
      </c>
      <c r="E3497" s="6">
        <v>2170680828</v>
      </c>
      <c r="F3497" s="6" t="s">
        <v>16</v>
      </c>
      <c r="G3497" s="6" t="s">
        <v>17</v>
      </c>
      <c r="H3497" s="6" t="s">
        <v>290</v>
      </c>
      <c r="I3497" s="6" t="s">
        <v>291</v>
      </c>
      <c r="J3497" s="6" t="s">
        <v>541</v>
      </c>
      <c r="K3497" s="7">
        <v>43609</v>
      </c>
      <c r="L3497" s="8">
        <v>0.37847222222222227</v>
      </c>
      <c r="M3497" s="6" t="s">
        <v>4059</v>
      </c>
      <c r="N3497" s="14" t="s">
        <v>21</v>
      </c>
      <c r="O3497" s="6" t="s">
        <v>22</v>
      </c>
    </row>
    <row r="3498" spans="1:15" hidden="1">
      <c r="A3498" s="6" t="s">
        <v>15</v>
      </c>
      <c r="B3498" s="6" t="str">
        <f>"FES1162691435"</f>
        <v>FES1162691435</v>
      </c>
      <c r="C3498" s="7">
        <v>43608</v>
      </c>
      <c r="D3498" s="6">
        <v>1</v>
      </c>
      <c r="E3498" s="6">
        <v>2170684163</v>
      </c>
      <c r="F3498" s="6" t="s">
        <v>16</v>
      </c>
      <c r="G3498" s="6" t="s">
        <v>17</v>
      </c>
      <c r="H3498" s="6" t="s">
        <v>290</v>
      </c>
      <c r="I3498" s="6" t="s">
        <v>291</v>
      </c>
      <c r="J3498" s="6" t="s">
        <v>1744</v>
      </c>
      <c r="K3498" s="7">
        <v>43609</v>
      </c>
      <c r="L3498" s="8">
        <v>0.35416666666666669</v>
      </c>
      <c r="M3498" s="6" t="s">
        <v>1334</v>
      </c>
      <c r="N3498" s="14" t="s">
        <v>21</v>
      </c>
      <c r="O3498" s="6" t="s">
        <v>22</v>
      </c>
    </row>
    <row r="3499" spans="1:15" hidden="1">
      <c r="A3499" s="6" t="s">
        <v>15</v>
      </c>
      <c r="B3499" s="6" t="str">
        <f>"FES1162691452"</f>
        <v>FES1162691452</v>
      </c>
      <c r="C3499" s="7">
        <v>43608</v>
      </c>
      <c r="D3499" s="6">
        <v>1</v>
      </c>
      <c r="E3499" s="6">
        <v>2170688908</v>
      </c>
      <c r="F3499" s="6" t="s">
        <v>16</v>
      </c>
      <c r="G3499" s="6" t="s">
        <v>17</v>
      </c>
      <c r="H3499" s="6" t="s">
        <v>440</v>
      </c>
      <c r="I3499" s="6" t="s">
        <v>441</v>
      </c>
      <c r="J3499" s="6" t="s">
        <v>317</v>
      </c>
      <c r="K3499" s="7">
        <v>43609</v>
      </c>
      <c r="L3499" s="8">
        <v>0.39583333333333331</v>
      </c>
      <c r="M3499" s="6" t="s">
        <v>444</v>
      </c>
      <c r="N3499" s="14" t="s">
        <v>21</v>
      </c>
      <c r="O3499" s="6" t="s">
        <v>22</v>
      </c>
    </row>
    <row r="3500" spans="1:15" hidden="1">
      <c r="A3500" s="6" t="s">
        <v>15</v>
      </c>
      <c r="B3500" s="6" t="str">
        <f>"FES1162691507"</f>
        <v>FES1162691507</v>
      </c>
      <c r="C3500" s="7">
        <v>43608</v>
      </c>
      <c r="D3500" s="6">
        <v>1</v>
      </c>
      <c r="E3500" s="6">
        <v>2170687633</v>
      </c>
      <c r="F3500" s="6" t="s">
        <v>16</v>
      </c>
      <c r="G3500" s="6" t="s">
        <v>17</v>
      </c>
      <c r="H3500" s="6" t="s">
        <v>290</v>
      </c>
      <c r="I3500" s="6" t="s">
        <v>291</v>
      </c>
      <c r="J3500" s="6" t="s">
        <v>4063</v>
      </c>
      <c r="K3500" s="7">
        <v>43609</v>
      </c>
      <c r="L3500" s="8">
        <v>0.40625</v>
      </c>
      <c r="M3500" s="6" t="s">
        <v>4039</v>
      </c>
      <c r="N3500" s="14" t="s">
        <v>21</v>
      </c>
      <c r="O3500" s="6" t="s">
        <v>22</v>
      </c>
    </row>
    <row r="3501" spans="1:15" hidden="1">
      <c r="A3501" s="6" t="s">
        <v>15</v>
      </c>
      <c r="B3501" s="6" t="str">
        <f>"FES1162691449"</f>
        <v>FES1162691449</v>
      </c>
      <c r="C3501" s="7">
        <v>43608</v>
      </c>
      <c r="D3501" s="6">
        <v>1</v>
      </c>
      <c r="E3501" s="6">
        <v>2170688761</v>
      </c>
      <c r="F3501" s="6" t="s">
        <v>16</v>
      </c>
      <c r="G3501" s="6" t="s">
        <v>17</v>
      </c>
      <c r="H3501" s="6" t="s">
        <v>290</v>
      </c>
      <c r="I3501" s="6" t="s">
        <v>309</v>
      </c>
      <c r="J3501" s="6" t="s">
        <v>1301</v>
      </c>
      <c r="K3501" s="7">
        <v>43609</v>
      </c>
      <c r="L3501" s="8">
        <v>0.41666666666666669</v>
      </c>
      <c r="M3501" s="6" t="s">
        <v>4064</v>
      </c>
      <c r="N3501" s="14" t="s">
        <v>21</v>
      </c>
      <c r="O3501" s="6" t="s">
        <v>22</v>
      </c>
    </row>
    <row r="3502" spans="1:15" hidden="1">
      <c r="A3502" s="6" t="s">
        <v>15</v>
      </c>
      <c r="B3502" s="6" t="str">
        <f>"FES1162691439"</f>
        <v>FES1162691439</v>
      </c>
      <c r="C3502" s="7">
        <v>43608</v>
      </c>
      <c r="D3502" s="6">
        <v>1</v>
      </c>
      <c r="E3502" s="6">
        <v>2170687157</v>
      </c>
      <c r="F3502" s="6" t="s">
        <v>16</v>
      </c>
      <c r="G3502" s="6" t="s">
        <v>17</v>
      </c>
      <c r="H3502" s="6" t="s">
        <v>290</v>
      </c>
      <c r="I3502" s="6" t="s">
        <v>291</v>
      </c>
      <c r="J3502" s="6" t="s">
        <v>3670</v>
      </c>
      <c r="K3502" s="7">
        <v>43609</v>
      </c>
      <c r="L3502" s="8">
        <v>0.41666666666666669</v>
      </c>
      <c r="M3502" s="6" t="s">
        <v>4065</v>
      </c>
      <c r="N3502" s="14" t="s">
        <v>21</v>
      </c>
      <c r="O3502" s="6" t="s">
        <v>22</v>
      </c>
    </row>
    <row r="3503" spans="1:15" hidden="1">
      <c r="A3503" s="6" t="s">
        <v>15</v>
      </c>
      <c r="B3503" s="6" t="str">
        <f>"FES1162691509"</f>
        <v>FES1162691509</v>
      </c>
      <c r="C3503" s="7">
        <v>43608</v>
      </c>
      <c r="D3503" s="6">
        <v>1</v>
      </c>
      <c r="E3503" s="6">
        <v>2170689877</v>
      </c>
      <c r="F3503" s="6" t="s">
        <v>16</v>
      </c>
      <c r="G3503" s="6" t="s">
        <v>17</v>
      </c>
      <c r="H3503" s="6" t="s">
        <v>290</v>
      </c>
      <c r="I3503" s="6" t="s">
        <v>601</v>
      </c>
      <c r="J3503" s="6" t="s">
        <v>602</v>
      </c>
      <c r="K3503" s="7">
        <v>43612</v>
      </c>
      <c r="L3503" s="8">
        <v>0.63888888888888895</v>
      </c>
      <c r="M3503" s="6" t="s">
        <v>77</v>
      </c>
      <c r="N3503" s="14" t="s">
        <v>21</v>
      </c>
      <c r="O3503" s="6" t="s">
        <v>22</v>
      </c>
    </row>
    <row r="3504" spans="1:15">
      <c r="A3504" s="6" t="s">
        <v>15</v>
      </c>
      <c r="B3504" s="6" t="str">
        <f>"FES1162691618"</f>
        <v>FES1162691618</v>
      </c>
      <c r="C3504" s="7">
        <v>43608</v>
      </c>
      <c r="D3504" s="6">
        <v>1</v>
      </c>
      <c r="E3504" s="6">
        <v>2170689924</v>
      </c>
      <c r="F3504" s="6" t="s">
        <v>16</v>
      </c>
      <c r="G3504" s="6" t="s">
        <v>17</v>
      </c>
      <c r="H3504" s="6" t="s">
        <v>17</v>
      </c>
      <c r="I3504" s="6" t="s">
        <v>18</v>
      </c>
      <c r="J3504" s="6" t="s">
        <v>4315</v>
      </c>
      <c r="K3504" s="7">
        <v>43609</v>
      </c>
      <c r="L3504" s="8">
        <v>0.38263888888888892</v>
      </c>
      <c r="M3504" s="6" t="s">
        <v>4316</v>
      </c>
      <c r="N3504" s="14" t="s">
        <v>21</v>
      </c>
      <c r="O3504" s="6" t="s">
        <v>22</v>
      </c>
    </row>
    <row r="3505" spans="1:15">
      <c r="A3505" s="6" t="s">
        <v>15</v>
      </c>
      <c r="B3505" s="6" t="str">
        <f>"FES1162691649"</f>
        <v>FES1162691649</v>
      </c>
      <c r="C3505" s="7">
        <v>43608</v>
      </c>
      <c r="D3505" s="6">
        <v>1</v>
      </c>
      <c r="E3505" s="6">
        <v>2170689952</v>
      </c>
      <c r="F3505" s="6" t="s">
        <v>16</v>
      </c>
      <c r="G3505" s="6" t="s">
        <v>17</v>
      </c>
      <c r="H3505" s="6" t="s">
        <v>17</v>
      </c>
      <c r="I3505" s="6" t="s">
        <v>26</v>
      </c>
      <c r="J3505" s="6" t="s">
        <v>567</v>
      </c>
      <c r="K3505" s="7">
        <v>43609</v>
      </c>
      <c r="L3505" s="8">
        <v>0.33333333333333331</v>
      </c>
      <c r="M3505" s="6" t="s">
        <v>4317</v>
      </c>
      <c r="N3505" s="14" t="s">
        <v>21</v>
      </c>
      <c r="O3505" s="6" t="s">
        <v>22</v>
      </c>
    </row>
    <row r="3506" spans="1:15" hidden="1">
      <c r="A3506" s="6" t="s">
        <v>15</v>
      </c>
      <c r="B3506" s="6" t="str">
        <f>"FES1162691592"</f>
        <v>FES1162691592</v>
      </c>
      <c r="C3506" s="7">
        <v>43608</v>
      </c>
      <c r="D3506" s="6">
        <v>1</v>
      </c>
      <c r="E3506" s="6">
        <v>2170689893</v>
      </c>
      <c r="F3506" s="6" t="s">
        <v>16</v>
      </c>
      <c r="G3506" s="6" t="s">
        <v>17</v>
      </c>
      <c r="H3506" s="6" t="s">
        <v>290</v>
      </c>
      <c r="I3506" s="6" t="s">
        <v>291</v>
      </c>
      <c r="J3506" s="6" t="s">
        <v>4068</v>
      </c>
      <c r="K3506" s="7">
        <v>43609</v>
      </c>
      <c r="L3506" s="8">
        <v>0.40902777777777777</v>
      </c>
      <c r="M3506" s="6" t="s">
        <v>2602</v>
      </c>
      <c r="N3506" s="14" t="s">
        <v>21</v>
      </c>
      <c r="O3506" s="6" t="s">
        <v>22</v>
      </c>
    </row>
    <row r="3507" spans="1:15" hidden="1">
      <c r="A3507" s="6" t="s">
        <v>15</v>
      </c>
      <c r="B3507" s="6" t="str">
        <f>"FES1162691476"</f>
        <v>FES1162691476</v>
      </c>
      <c r="C3507" s="7">
        <v>43608</v>
      </c>
      <c r="D3507" s="6">
        <v>1</v>
      </c>
      <c r="E3507" s="6">
        <v>2170689835</v>
      </c>
      <c r="F3507" s="6" t="s">
        <v>16</v>
      </c>
      <c r="G3507" s="6" t="s">
        <v>17</v>
      </c>
      <c r="H3507" s="6" t="s">
        <v>290</v>
      </c>
      <c r="I3507" s="6" t="s">
        <v>601</v>
      </c>
      <c r="J3507" s="6" t="s">
        <v>4069</v>
      </c>
      <c r="K3507" s="7">
        <v>43609</v>
      </c>
      <c r="L3507" s="8">
        <v>0.59513888888888888</v>
      </c>
      <c r="M3507" s="6" t="s">
        <v>4070</v>
      </c>
      <c r="N3507" s="14" t="s">
        <v>21</v>
      </c>
      <c r="O3507" s="6" t="s">
        <v>22</v>
      </c>
    </row>
    <row r="3508" spans="1:15" hidden="1">
      <c r="A3508" s="6" t="s">
        <v>15</v>
      </c>
      <c r="B3508" s="6" t="str">
        <f>"FES1162691438"</f>
        <v>FES1162691438</v>
      </c>
      <c r="C3508" s="7">
        <v>43608</v>
      </c>
      <c r="D3508" s="6">
        <v>1</v>
      </c>
      <c r="E3508" s="6">
        <v>2170686543</v>
      </c>
      <c r="F3508" s="6" t="s">
        <v>16</v>
      </c>
      <c r="G3508" s="6" t="s">
        <v>17</v>
      </c>
      <c r="H3508" s="6" t="s">
        <v>300</v>
      </c>
      <c r="I3508" s="6" t="s">
        <v>301</v>
      </c>
      <c r="J3508" s="6" t="s">
        <v>3781</v>
      </c>
      <c r="K3508" s="7">
        <v>43609</v>
      </c>
      <c r="L3508" s="8">
        <v>0.375</v>
      </c>
      <c r="M3508" s="6" t="s">
        <v>1019</v>
      </c>
      <c r="N3508" s="14" t="s">
        <v>21</v>
      </c>
      <c r="O3508" s="6" t="s">
        <v>22</v>
      </c>
    </row>
    <row r="3509" spans="1:15">
      <c r="A3509" s="6" t="s">
        <v>15</v>
      </c>
      <c r="B3509" s="6" t="str">
        <f>"FES1162691632"</f>
        <v>FES1162691632</v>
      </c>
      <c r="C3509" s="7">
        <v>43608</v>
      </c>
      <c r="D3509" s="6">
        <v>1</v>
      </c>
      <c r="E3509" s="6">
        <v>2170689940</v>
      </c>
      <c r="F3509" s="6" t="s">
        <v>16</v>
      </c>
      <c r="G3509" s="6" t="s">
        <v>17</v>
      </c>
      <c r="H3509" s="6" t="s">
        <v>17</v>
      </c>
      <c r="I3509" s="6" t="s">
        <v>64</v>
      </c>
      <c r="J3509" s="6" t="s">
        <v>4318</v>
      </c>
      <c r="K3509" s="7">
        <v>43609</v>
      </c>
      <c r="L3509" s="8">
        <v>0.42291666666666666</v>
      </c>
      <c r="M3509" s="6" t="s">
        <v>4319</v>
      </c>
      <c r="N3509" s="14" t="s">
        <v>21</v>
      </c>
      <c r="O3509" s="6" t="s">
        <v>22</v>
      </c>
    </row>
    <row r="3510" spans="1:15">
      <c r="A3510" s="6" t="s">
        <v>15</v>
      </c>
      <c r="B3510" s="6" t="str">
        <f>"FES1162691584"</f>
        <v>FES1162691584</v>
      </c>
      <c r="C3510" s="7">
        <v>43608</v>
      </c>
      <c r="D3510" s="6">
        <v>1</v>
      </c>
      <c r="E3510" s="6">
        <v>2170689886</v>
      </c>
      <c r="F3510" s="6" t="s">
        <v>16</v>
      </c>
      <c r="G3510" s="6" t="s">
        <v>17</v>
      </c>
      <c r="H3510" s="6" t="s">
        <v>17</v>
      </c>
      <c r="I3510" s="6" t="s">
        <v>720</v>
      </c>
      <c r="J3510" s="6" t="s">
        <v>721</v>
      </c>
      <c r="K3510" s="7">
        <v>43609</v>
      </c>
      <c r="L3510" s="8">
        <v>0.33333333333333331</v>
      </c>
      <c r="M3510" s="6" t="s">
        <v>4320</v>
      </c>
      <c r="N3510" s="14" t="s">
        <v>21</v>
      </c>
      <c r="O3510" s="6" t="s">
        <v>22</v>
      </c>
    </row>
    <row r="3511" spans="1:15">
      <c r="A3511" s="6" t="s">
        <v>15</v>
      </c>
      <c r="B3511" s="6" t="str">
        <f>"FES1162691651"</f>
        <v>FES1162691651</v>
      </c>
      <c r="C3511" s="7">
        <v>43608</v>
      </c>
      <c r="D3511" s="6">
        <v>1</v>
      </c>
      <c r="E3511" s="6">
        <v>2170689955</v>
      </c>
      <c r="F3511" s="6" t="s">
        <v>16</v>
      </c>
      <c r="G3511" s="6" t="s">
        <v>17</v>
      </c>
      <c r="H3511" s="6" t="s">
        <v>17</v>
      </c>
      <c r="I3511" s="6" t="s">
        <v>64</v>
      </c>
      <c r="J3511" s="6" t="s">
        <v>116</v>
      </c>
      <c r="K3511" s="7">
        <v>43609</v>
      </c>
      <c r="L3511" s="8">
        <v>0.4375</v>
      </c>
      <c r="M3511" s="6" t="s">
        <v>152</v>
      </c>
      <c r="N3511" s="14" t="s">
        <v>21</v>
      </c>
      <c r="O3511" s="6" t="s">
        <v>22</v>
      </c>
    </row>
    <row r="3512" spans="1:15">
      <c r="A3512" s="6" t="s">
        <v>15</v>
      </c>
      <c r="B3512" s="6" t="str">
        <f>"FES1162691631"</f>
        <v>FES1162691631</v>
      </c>
      <c r="C3512" s="7">
        <v>43608</v>
      </c>
      <c r="D3512" s="6">
        <v>1</v>
      </c>
      <c r="E3512" s="6">
        <v>2170689939</v>
      </c>
      <c r="F3512" s="6" t="s">
        <v>16</v>
      </c>
      <c r="G3512" s="6" t="s">
        <v>17</v>
      </c>
      <c r="H3512" s="6" t="s">
        <v>17</v>
      </c>
      <c r="I3512" s="6" t="s">
        <v>64</v>
      </c>
      <c r="J3512" s="6" t="s">
        <v>4318</v>
      </c>
      <c r="K3512" s="7">
        <v>43609</v>
      </c>
      <c r="L3512" s="8">
        <v>0.42291666666666666</v>
      </c>
      <c r="M3512" s="6" t="s">
        <v>4319</v>
      </c>
      <c r="N3512" s="14" t="s">
        <v>21</v>
      </c>
      <c r="O3512" s="6" t="s">
        <v>22</v>
      </c>
    </row>
    <row r="3513" spans="1:15" hidden="1">
      <c r="A3513" s="6" t="s">
        <v>15</v>
      </c>
      <c r="B3513" s="6" t="str">
        <f>"FES1162691603"</f>
        <v>FES1162691603</v>
      </c>
      <c r="C3513" s="7">
        <v>43608</v>
      </c>
      <c r="D3513" s="6">
        <v>1</v>
      </c>
      <c r="E3513" s="6">
        <v>2170689907</v>
      </c>
      <c r="F3513" s="6" t="s">
        <v>16</v>
      </c>
      <c r="G3513" s="6" t="s">
        <v>17</v>
      </c>
      <c r="H3513" s="6" t="s">
        <v>290</v>
      </c>
      <c r="I3513" s="6" t="s">
        <v>291</v>
      </c>
      <c r="J3513" s="6" t="s">
        <v>1030</v>
      </c>
      <c r="K3513" s="7">
        <v>43609</v>
      </c>
      <c r="L3513" s="8">
        <v>0.375</v>
      </c>
      <c r="M3513" s="6" t="s">
        <v>4071</v>
      </c>
      <c r="N3513" s="14" t="s">
        <v>21</v>
      </c>
      <c r="O3513" s="6" t="s">
        <v>22</v>
      </c>
    </row>
    <row r="3514" spans="1:15" hidden="1">
      <c r="A3514" s="6" t="s">
        <v>15</v>
      </c>
      <c r="B3514" s="6" t="str">
        <f>"FES1162691474"</f>
        <v>FES1162691474</v>
      </c>
      <c r="C3514" s="7">
        <v>43608</v>
      </c>
      <c r="D3514" s="6">
        <v>1</v>
      </c>
      <c r="E3514" s="6">
        <v>2170689824</v>
      </c>
      <c r="F3514" s="6" t="s">
        <v>16</v>
      </c>
      <c r="G3514" s="6" t="s">
        <v>17</v>
      </c>
      <c r="H3514" s="6" t="s">
        <v>141</v>
      </c>
      <c r="I3514" s="6" t="s">
        <v>142</v>
      </c>
      <c r="J3514" s="6" t="s">
        <v>3843</v>
      </c>
      <c r="K3514" s="7">
        <v>43609</v>
      </c>
      <c r="L3514" s="8">
        <v>0.39652777777777781</v>
      </c>
      <c r="M3514" s="6" t="s">
        <v>4073</v>
      </c>
      <c r="N3514" s="14" t="s">
        <v>21</v>
      </c>
      <c r="O3514" s="6" t="s">
        <v>22</v>
      </c>
    </row>
    <row r="3515" spans="1:15">
      <c r="A3515" s="6" t="s">
        <v>15</v>
      </c>
      <c r="B3515" s="6" t="str">
        <f>"FES1162691679"</f>
        <v>FES1162691679</v>
      </c>
      <c r="C3515" s="7">
        <v>43608</v>
      </c>
      <c r="D3515" s="6">
        <v>1</v>
      </c>
      <c r="E3515" s="6">
        <v>21706899991</v>
      </c>
      <c r="F3515" s="6" t="s">
        <v>16</v>
      </c>
      <c r="G3515" s="6" t="s">
        <v>17</v>
      </c>
      <c r="H3515" s="6" t="s">
        <v>17</v>
      </c>
      <c r="I3515" s="6" t="s">
        <v>67</v>
      </c>
      <c r="J3515" s="6" t="s">
        <v>1621</v>
      </c>
      <c r="K3515" s="7">
        <v>43609</v>
      </c>
      <c r="L3515" s="8">
        <v>0.35347222222222219</v>
      </c>
      <c r="M3515" s="6" t="s">
        <v>1622</v>
      </c>
      <c r="N3515" s="14" t="s">
        <v>21</v>
      </c>
      <c r="O3515" s="6" t="s">
        <v>22</v>
      </c>
    </row>
    <row r="3516" spans="1:15" hidden="1">
      <c r="A3516" s="6" t="s">
        <v>15</v>
      </c>
      <c r="B3516" s="6" t="str">
        <f>"FES1162691670"</f>
        <v>FES1162691670</v>
      </c>
      <c r="C3516" s="7">
        <v>43608</v>
      </c>
      <c r="D3516" s="6">
        <v>1</v>
      </c>
      <c r="E3516" s="6">
        <v>2170689978</v>
      </c>
      <c r="F3516" s="6" t="s">
        <v>16</v>
      </c>
      <c r="G3516" s="6" t="s">
        <v>17</v>
      </c>
      <c r="H3516" s="6" t="s">
        <v>425</v>
      </c>
      <c r="I3516" s="6" t="s">
        <v>426</v>
      </c>
      <c r="J3516" s="6" t="s">
        <v>783</v>
      </c>
      <c r="K3516" s="7">
        <v>43609</v>
      </c>
      <c r="L3516" s="8">
        <v>0.40138888888888885</v>
      </c>
      <c r="M3516" s="6" t="s">
        <v>937</v>
      </c>
      <c r="N3516" s="14" t="s">
        <v>21</v>
      </c>
      <c r="O3516" s="6" t="s">
        <v>22</v>
      </c>
    </row>
    <row r="3517" spans="1:15" hidden="1">
      <c r="A3517" s="6" t="s">
        <v>15</v>
      </c>
      <c r="B3517" s="6" t="str">
        <f>"FES1162691676"</f>
        <v>FES1162691676</v>
      </c>
      <c r="C3517" s="7">
        <v>43608</v>
      </c>
      <c r="D3517" s="6">
        <v>1</v>
      </c>
      <c r="E3517" s="6">
        <v>2170689988</v>
      </c>
      <c r="F3517" s="6" t="s">
        <v>16</v>
      </c>
      <c r="G3517" s="6" t="s">
        <v>17</v>
      </c>
      <c r="H3517" s="6" t="s">
        <v>43</v>
      </c>
      <c r="I3517" s="6" t="s">
        <v>44</v>
      </c>
      <c r="J3517" s="6" t="s">
        <v>51</v>
      </c>
      <c r="K3517" s="7">
        <v>43609</v>
      </c>
      <c r="L3517" s="8">
        <v>0.3444444444444445</v>
      </c>
      <c r="M3517" s="6" t="s">
        <v>4011</v>
      </c>
      <c r="N3517" s="14" t="s">
        <v>21</v>
      </c>
      <c r="O3517" s="6" t="s">
        <v>22</v>
      </c>
    </row>
    <row r="3518" spans="1:15" hidden="1">
      <c r="A3518" s="6" t="s">
        <v>15</v>
      </c>
      <c r="B3518" s="6" t="str">
        <f>"FES1162691675"</f>
        <v>FES1162691675</v>
      </c>
      <c r="C3518" s="7">
        <v>43608</v>
      </c>
      <c r="D3518" s="6">
        <v>1</v>
      </c>
      <c r="E3518" s="6">
        <v>2170689986</v>
      </c>
      <c r="F3518" s="6" t="s">
        <v>16</v>
      </c>
      <c r="G3518" s="6" t="s">
        <v>17</v>
      </c>
      <c r="H3518" s="6" t="s">
        <v>43</v>
      </c>
      <c r="I3518" s="6" t="s">
        <v>44</v>
      </c>
      <c r="J3518" s="6" t="s">
        <v>51</v>
      </c>
      <c r="K3518" s="7">
        <v>43609</v>
      </c>
      <c r="L3518" s="8">
        <v>0.41666666666666669</v>
      </c>
      <c r="M3518" s="6" t="s">
        <v>4077</v>
      </c>
      <c r="N3518" s="14" t="s">
        <v>21</v>
      </c>
      <c r="O3518" s="6" t="s">
        <v>22</v>
      </c>
    </row>
    <row r="3519" spans="1:15" hidden="1">
      <c r="A3519" s="6" t="s">
        <v>15</v>
      </c>
      <c r="B3519" s="6" t="str">
        <f>"FES1162691586"</f>
        <v>FES1162691586</v>
      </c>
      <c r="C3519" s="7">
        <v>43608</v>
      </c>
      <c r="D3519" s="6">
        <v>1</v>
      </c>
      <c r="E3519" s="6">
        <v>2170689890</v>
      </c>
      <c r="F3519" s="6" t="s">
        <v>58</v>
      </c>
      <c r="G3519" s="6" t="s">
        <v>59</v>
      </c>
      <c r="H3519" s="6" t="s">
        <v>2986</v>
      </c>
      <c r="I3519" s="6" t="s">
        <v>291</v>
      </c>
      <c r="J3519" s="6" t="s">
        <v>1030</v>
      </c>
      <c r="K3519" s="7">
        <v>43609</v>
      </c>
      <c r="L3519" s="8">
        <v>0.375</v>
      </c>
      <c r="M3519" s="6" t="s">
        <v>4071</v>
      </c>
      <c r="N3519" s="14" t="s">
        <v>21</v>
      </c>
      <c r="O3519" s="6" t="s">
        <v>22</v>
      </c>
    </row>
    <row r="3520" spans="1:15" hidden="1">
      <c r="A3520" s="6" t="s">
        <v>15</v>
      </c>
      <c r="B3520" s="6" t="str">
        <f>"FES1162691674"</f>
        <v>FES1162691674</v>
      </c>
      <c r="C3520" s="7">
        <v>43608</v>
      </c>
      <c r="D3520" s="6">
        <v>1</v>
      </c>
      <c r="E3520" s="6">
        <v>2170689984</v>
      </c>
      <c r="F3520" s="6" t="s">
        <v>16</v>
      </c>
      <c r="G3520" s="6" t="s">
        <v>17</v>
      </c>
      <c r="H3520" s="6" t="s">
        <v>43</v>
      </c>
      <c r="I3520" s="6" t="s">
        <v>44</v>
      </c>
      <c r="J3520" s="6" t="s">
        <v>51</v>
      </c>
      <c r="K3520" s="7">
        <v>43609</v>
      </c>
      <c r="L3520" s="8">
        <v>0.3444444444444445</v>
      </c>
      <c r="M3520" s="6" t="s">
        <v>4011</v>
      </c>
      <c r="N3520" s="14" t="s">
        <v>21</v>
      </c>
      <c r="O3520" s="6" t="s">
        <v>22</v>
      </c>
    </row>
    <row r="3521" spans="1:15" hidden="1">
      <c r="A3521" s="6" t="s">
        <v>15</v>
      </c>
      <c r="B3521" s="6" t="str">
        <f>"FES1162691672"</f>
        <v>FES1162691672</v>
      </c>
      <c r="C3521" s="7">
        <v>43608</v>
      </c>
      <c r="D3521" s="6">
        <v>1</v>
      </c>
      <c r="E3521" s="6">
        <v>2170689981</v>
      </c>
      <c r="F3521" s="6" t="s">
        <v>16</v>
      </c>
      <c r="G3521" s="6" t="s">
        <v>17</v>
      </c>
      <c r="H3521" s="6" t="s">
        <v>43</v>
      </c>
      <c r="I3521" s="6" t="s">
        <v>44</v>
      </c>
      <c r="J3521" s="6" t="s">
        <v>748</v>
      </c>
      <c r="K3521" s="7">
        <v>43609</v>
      </c>
      <c r="L3521" s="8">
        <v>0.41666666666666669</v>
      </c>
      <c r="M3521" s="6" t="s">
        <v>3834</v>
      </c>
      <c r="N3521" s="14" t="s">
        <v>21</v>
      </c>
      <c r="O3521" s="6" t="s">
        <v>22</v>
      </c>
    </row>
    <row r="3522" spans="1:15" hidden="1">
      <c r="A3522" s="6" t="s">
        <v>15</v>
      </c>
      <c r="B3522" s="6" t="str">
        <f>"FES1162691657"</f>
        <v>FES1162691657</v>
      </c>
      <c r="C3522" s="7">
        <v>43608</v>
      </c>
      <c r="D3522" s="6">
        <v>1</v>
      </c>
      <c r="E3522" s="6">
        <v>2170689963</v>
      </c>
      <c r="F3522" s="6" t="s">
        <v>16</v>
      </c>
      <c r="G3522" s="6" t="s">
        <v>17</v>
      </c>
      <c r="H3522" s="6" t="s">
        <v>425</v>
      </c>
      <c r="I3522" s="6" t="s">
        <v>771</v>
      </c>
      <c r="J3522" s="6" t="s">
        <v>772</v>
      </c>
      <c r="K3522" s="7">
        <v>43609</v>
      </c>
      <c r="L3522" s="8">
        <v>0.57430555555555551</v>
      </c>
      <c r="M3522" s="6" t="s">
        <v>773</v>
      </c>
      <c r="N3522" s="14" t="s">
        <v>21</v>
      </c>
      <c r="O3522" s="6" t="s">
        <v>22</v>
      </c>
    </row>
    <row r="3523" spans="1:15" hidden="1">
      <c r="A3523" s="6" t="s">
        <v>15</v>
      </c>
      <c r="B3523" s="6" t="str">
        <f>"FES1162691680"</f>
        <v>FES1162691680</v>
      </c>
      <c r="C3523" s="7">
        <v>43608</v>
      </c>
      <c r="D3523" s="6">
        <v>1</v>
      </c>
      <c r="E3523" s="6">
        <v>2170689992</v>
      </c>
      <c r="F3523" s="6" t="s">
        <v>16</v>
      </c>
      <c r="G3523" s="6" t="s">
        <v>17</v>
      </c>
      <c r="H3523" s="6" t="s">
        <v>37</v>
      </c>
      <c r="I3523" s="6" t="s">
        <v>38</v>
      </c>
      <c r="J3523" s="6" t="s">
        <v>1204</v>
      </c>
      <c r="K3523" s="7">
        <v>43609</v>
      </c>
      <c r="L3523" s="8">
        <v>0.41666666666666669</v>
      </c>
      <c r="M3523" s="6" t="s">
        <v>1205</v>
      </c>
      <c r="N3523" s="14" t="s">
        <v>21</v>
      </c>
      <c r="O3523" s="6" t="s">
        <v>22</v>
      </c>
    </row>
    <row r="3524" spans="1:15" hidden="1">
      <c r="A3524" s="6" t="s">
        <v>15</v>
      </c>
      <c r="B3524" s="6" t="str">
        <f>"FES1162691549"</f>
        <v>FES1162691549</v>
      </c>
      <c r="C3524" s="7">
        <v>43608</v>
      </c>
      <c r="D3524" s="6">
        <v>1</v>
      </c>
      <c r="E3524" s="6">
        <v>2170688113</v>
      </c>
      <c r="F3524" s="6" t="s">
        <v>16</v>
      </c>
      <c r="G3524" s="6" t="s">
        <v>17</v>
      </c>
      <c r="H3524" s="6" t="s">
        <v>32</v>
      </c>
      <c r="I3524" s="6" t="s">
        <v>342</v>
      </c>
      <c r="J3524" s="6" t="s">
        <v>949</v>
      </c>
      <c r="K3524" s="7">
        <v>43609</v>
      </c>
      <c r="L3524" s="8">
        <v>0.33333333333333331</v>
      </c>
      <c r="M3524" s="6" t="s">
        <v>4027</v>
      </c>
      <c r="N3524" s="14" t="s">
        <v>21</v>
      </c>
      <c r="O3524" s="6" t="s">
        <v>22</v>
      </c>
    </row>
    <row r="3525" spans="1:15" hidden="1">
      <c r="A3525" s="6" t="s">
        <v>15</v>
      </c>
      <c r="B3525" s="6" t="str">
        <f>"FES1162691482"</f>
        <v>FES1162691482</v>
      </c>
      <c r="C3525" s="7">
        <v>43608</v>
      </c>
      <c r="D3525" s="6">
        <v>1</v>
      </c>
      <c r="E3525" s="6">
        <v>2170689843</v>
      </c>
      <c r="F3525" s="6" t="s">
        <v>16</v>
      </c>
      <c r="G3525" s="6" t="s">
        <v>17</v>
      </c>
      <c r="H3525" s="6" t="s">
        <v>290</v>
      </c>
      <c r="I3525" s="6" t="s">
        <v>291</v>
      </c>
      <c r="J3525" s="6" t="s">
        <v>609</v>
      </c>
      <c r="K3525" s="7">
        <v>43609</v>
      </c>
      <c r="L3525" s="8">
        <v>0.3923611111111111</v>
      </c>
      <c r="M3525" s="6" t="s">
        <v>4085</v>
      </c>
      <c r="N3525" s="14" t="s">
        <v>21</v>
      </c>
      <c r="O3525" s="6" t="s">
        <v>22</v>
      </c>
    </row>
    <row r="3526" spans="1:15" hidden="1">
      <c r="A3526" s="6" t="s">
        <v>15</v>
      </c>
      <c r="B3526" s="6" t="str">
        <f>"FES1162691441"</f>
        <v>FES1162691441</v>
      </c>
      <c r="C3526" s="7">
        <v>43608</v>
      </c>
      <c r="D3526" s="6">
        <v>1</v>
      </c>
      <c r="E3526" s="6">
        <v>2170687379</v>
      </c>
      <c r="F3526" s="6" t="s">
        <v>16</v>
      </c>
      <c r="G3526" s="6" t="s">
        <v>17</v>
      </c>
      <c r="H3526" s="6" t="s">
        <v>141</v>
      </c>
      <c r="I3526" s="6" t="s">
        <v>142</v>
      </c>
      <c r="J3526" s="6" t="s">
        <v>2369</v>
      </c>
      <c r="K3526" s="7">
        <v>43609</v>
      </c>
      <c r="L3526" s="8">
        <v>0.34513888888888888</v>
      </c>
      <c r="M3526" s="6" t="s">
        <v>4087</v>
      </c>
      <c r="N3526" s="14" t="s">
        <v>21</v>
      </c>
      <c r="O3526" s="6" t="s">
        <v>22</v>
      </c>
    </row>
    <row r="3527" spans="1:15" hidden="1">
      <c r="A3527" s="6" t="s">
        <v>15</v>
      </c>
      <c r="B3527" s="6" t="str">
        <f>"FES1162691456"</f>
        <v>FES1162691456</v>
      </c>
      <c r="C3527" s="7">
        <v>43608</v>
      </c>
      <c r="D3527" s="6">
        <v>1</v>
      </c>
      <c r="E3527" s="6">
        <v>2170689172</v>
      </c>
      <c r="F3527" s="6" t="s">
        <v>16</v>
      </c>
      <c r="G3527" s="6" t="s">
        <v>17</v>
      </c>
      <c r="H3527" s="6" t="s">
        <v>290</v>
      </c>
      <c r="I3527" s="6" t="s">
        <v>601</v>
      </c>
      <c r="J3527" s="6" t="s">
        <v>602</v>
      </c>
      <c r="K3527" s="7">
        <v>43612</v>
      </c>
      <c r="L3527" s="8">
        <v>0.63888888888888895</v>
      </c>
      <c r="M3527" s="6" t="s">
        <v>77</v>
      </c>
      <c r="N3527" s="14" t="s">
        <v>21</v>
      </c>
      <c r="O3527" s="6" t="s">
        <v>22</v>
      </c>
    </row>
    <row r="3528" spans="1:15" hidden="1">
      <c r="A3528" s="6" t="s">
        <v>15</v>
      </c>
      <c r="B3528" s="6" t="str">
        <f>"FES1162691460"</f>
        <v>FES1162691460</v>
      </c>
      <c r="C3528" s="7">
        <v>43608</v>
      </c>
      <c r="D3528" s="6">
        <v>1</v>
      </c>
      <c r="E3528" s="6">
        <v>2170689366</v>
      </c>
      <c r="F3528" s="6" t="s">
        <v>58</v>
      </c>
      <c r="G3528" s="6" t="s">
        <v>59</v>
      </c>
      <c r="H3528" s="6" t="s">
        <v>141</v>
      </c>
      <c r="I3528" s="6" t="s">
        <v>137</v>
      </c>
      <c r="J3528" s="6" t="s">
        <v>138</v>
      </c>
      <c r="K3528" s="7">
        <v>43609</v>
      </c>
      <c r="L3528" s="8">
        <v>0.5</v>
      </c>
      <c r="M3528" s="6" t="s">
        <v>2542</v>
      </c>
      <c r="N3528" s="14" t="s">
        <v>21</v>
      </c>
      <c r="O3528" s="6" t="s">
        <v>494</v>
      </c>
    </row>
    <row r="3529" spans="1:15" hidden="1">
      <c r="A3529" s="6" t="s">
        <v>15</v>
      </c>
      <c r="B3529" s="6" t="str">
        <f>"FES1162691472"</f>
        <v>FES1162691472</v>
      </c>
      <c r="C3529" s="7">
        <v>43608</v>
      </c>
      <c r="D3529" s="6">
        <v>1</v>
      </c>
      <c r="E3529" s="6">
        <v>2170689821</v>
      </c>
      <c r="F3529" s="6" t="s">
        <v>16</v>
      </c>
      <c r="G3529" s="6" t="s">
        <v>17</v>
      </c>
      <c r="H3529" s="6" t="s">
        <v>141</v>
      </c>
      <c r="I3529" s="6" t="s">
        <v>142</v>
      </c>
      <c r="J3529" s="6" t="s">
        <v>864</v>
      </c>
      <c r="K3529" s="7">
        <v>43609</v>
      </c>
      <c r="L3529" s="8">
        <v>0.36805555555555558</v>
      </c>
      <c r="M3529" s="6" t="s">
        <v>2254</v>
      </c>
      <c r="N3529" s="14" t="s">
        <v>21</v>
      </c>
      <c r="O3529" s="6" t="s">
        <v>22</v>
      </c>
    </row>
    <row r="3530" spans="1:15" hidden="1">
      <c r="A3530" s="6" t="s">
        <v>15</v>
      </c>
      <c r="B3530" s="6" t="str">
        <f>"FES1162691467"</f>
        <v>FES1162691467</v>
      </c>
      <c r="C3530" s="7">
        <v>43608</v>
      </c>
      <c r="D3530" s="6">
        <v>2</v>
      </c>
      <c r="E3530" s="6">
        <v>2170689809</v>
      </c>
      <c r="F3530" s="6" t="s">
        <v>16</v>
      </c>
      <c r="G3530" s="6" t="s">
        <v>17</v>
      </c>
      <c r="H3530" s="6" t="s">
        <v>141</v>
      </c>
      <c r="I3530" s="6" t="s">
        <v>142</v>
      </c>
      <c r="J3530" s="6" t="s">
        <v>864</v>
      </c>
      <c r="K3530" s="7">
        <v>43609</v>
      </c>
      <c r="L3530" s="8">
        <v>0.36805555555555558</v>
      </c>
      <c r="M3530" s="6" t="s">
        <v>2254</v>
      </c>
      <c r="N3530" s="14" t="s">
        <v>21</v>
      </c>
      <c r="O3530" s="6" t="s">
        <v>22</v>
      </c>
    </row>
    <row r="3531" spans="1:15" hidden="1">
      <c r="A3531" s="6" t="s">
        <v>15</v>
      </c>
      <c r="B3531" s="6" t="str">
        <f>"FES1162691462"</f>
        <v>FES1162691462</v>
      </c>
      <c r="C3531" s="7">
        <v>43608</v>
      </c>
      <c r="D3531" s="6">
        <v>1</v>
      </c>
      <c r="E3531" s="6">
        <v>2170689630</v>
      </c>
      <c r="F3531" s="6" t="s">
        <v>16</v>
      </c>
      <c r="G3531" s="6" t="s">
        <v>17</v>
      </c>
      <c r="H3531" s="6" t="s">
        <v>141</v>
      </c>
      <c r="I3531" s="6" t="s">
        <v>142</v>
      </c>
      <c r="J3531" s="6" t="s">
        <v>195</v>
      </c>
      <c r="K3531" s="7">
        <v>43609</v>
      </c>
      <c r="L3531" s="8">
        <v>0.42222222222222222</v>
      </c>
      <c r="M3531" s="6" t="s">
        <v>1418</v>
      </c>
      <c r="N3531" s="14" t="s">
        <v>21</v>
      </c>
      <c r="O3531" s="6" t="s">
        <v>22</v>
      </c>
    </row>
    <row r="3532" spans="1:15" hidden="1">
      <c r="A3532" s="6" t="s">
        <v>15</v>
      </c>
      <c r="B3532" s="6" t="str">
        <f>"FES1162691688"</f>
        <v>FES1162691688</v>
      </c>
      <c r="C3532" s="7">
        <v>43608</v>
      </c>
      <c r="D3532" s="6">
        <v>1</v>
      </c>
      <c r="E3532" s="6">
        <v>2170690001</v>
      </c>
      <c r="F3532" s="6" t="s">
        <v>16</v>
      </c>
      <c r="G3532" s="6" t="s">
        <v>17</v>
      </c>
      <c r="H3532" s="6" t="s">
        <v>43</v>
      </c>
      <c r="I3532" s="6" t="s">
        <v>44</v>
      </c>
      <c r="J3532" s="6" t="s">
        <v>336</v>
      </c>
      <c r="K3532" s="7">
        <v>43609</v>
      </c>
      <c r="L3532" s="8">
        <v>0.36805555555555558</v>
      </c>
      <c r="M3532" s="6" t="s">
        <v>1502</v>
      </c>
      <c r="N3532" s="14" t="s">
        <v>21</v>
      </c>
      <c r="O3532" s="6" t="s">
        <v>22</v>
      </c>
    </row>
    <row r="3533" spans="1:15">
      <c r="A3533" s="6" t="s">
        <v>15</v>
      </c>
      <c r="B3533" s="6" t="str">
        <f>"FES1162691681"</f>
        <v>FES1162691681</v>
      </c>
      <c r="C3533" s="7">
        <v>43608</v>
      </c>
      <c r="D3533" s="6">
        <v>1</v>
      </c>
      <c r="E3533" s="6">
        <v>2170689993</v>
      </c>
      <c r="F3533" s="6" t="s">
        <v>16</v>
      </c>
      <c r="G3533" s="6" t="s">
        <v>17</v>
      </c>
      <c r="H3533" s="6" t="s">
        <v>17</v>
      </c>
      <c r="I3533" s="6" t="s">
        <v>67</v>
      </c>
      <c r="J3533" s="6" t="s">
        <v>1621</v>
      </c>
      <c r="K3533" s="7">
        <v>43609</v>
      </c>
      <c r="L3533" s="8">
        <v>0.3520833333333333</v>
      </c>
      <c r="M3533" s="6" t="s">
        <v>1622</v>
      </c>
      <c r="N3533" s="14" t="s">
        <v>21</v>
      </c>
      <c r="O3533" s="6" t="s">
        <v>22</v>
      </c>
    </row>
    <row r="3534" spans="1:15" hidden="1">
      <c r="A3534" s="6" t="s">
        <v>15</v>
      </c>
      <c r="B3534" s="6" t="str">
        <f>"FES1162691614"</f>
        <v>FES1162691614</v>
      </c>
      <c r="C3534" s="7">
        <v>43608</v>
      </c>
      <c r="D3534" s="6">
        <v>1</v>
      </c>
      <c r="E3534" s="6">
        <v>2170689919</v>
      </c>
      <c r="F3534" s="6" t="s">
        <v>16</v>
      </c>
      <c r="G3534" s="6" t="s">
        <v>17</v>
      </c>
      <c r="H3534" s="6" t="s">
        <v>440</v>
      </c>
      <c r="I3534" s="6" t="s">
        <v>1546</v>
      </c>
      <c r="J3534" s="6" t="s">
        <v>1547</v>
      </c>
      <c r="K3534" s="7">
        <v>43609</v>
      </c>
      <c r="L3534" s="8">
        <v>0.375</v>
      </c>
      <c r="M3534" s="6" t="s">
        <v>2751</v>
      </c>
      <c r="N3534" s="14" t="s">
        <v>21</v>
      </c>
      <c r="O3534" s="6" t="s">
        <v>22</v>
      </c>
    </row>
    <row r="3535" spans="1:15" hidden="1">
      <c r="A3535" s="6" t="s">
        <v>15</v>
      </c>
      <c r="B3535" s="6" t="str">
        <f>"FES1162691569"</f>
        <v>FES1162691569</v>
      </c>
      <c r="C3535" s="7">
        <v>43608</v>
      </c>
      <c r="D3535" s="6">
        <v>1</v>
      </c>
      <c r="E3535" s="6">
        <v>2170688307</v>
      </c>
      <c r="F3535" s="6" t="s">
        <v>16</v>
      </c>
      <c r="G3535" s="6" t="s">
        <v>17</v>
      </c>
      <c r="H3535" s="6" t="s">
        <v>141</v>
      </c>
      <c r="I3535" s="6" t="s">
        <v>142</v>
      </c>
      <c r="J3535" s="6" t="s">
        <v>213</v>
      </c>
      <c r="K3535" s="7">
        <v>43609</v>
      </c>
      <c r="L3535" s="8">
        <v>0.33749999999999997</v>
      </c>
      <c r="M3535" s="6" t="s">
        <v>214</v>
      </c>
      <c r="N3535" s="14" t="s">
        <v>21</v>
      </c>
      <c r="O3535" s="6" t="s">
        <v>22</v>
      </c>
    </row>
    <row r="3536" spans="1:15" hidden="1">
      <c r="A3536" s="6" t="s">
        <v>15</v>
      </c>
      <c r="B3536" s="6" t="str">
        <f>"FES1162691566"</f>
        <v>FES1162691566</v>
      </c>
      <c r="C3536" s="7">
        <v>43608</v>
      </c>
      <c r="D3536" s="6">
        <v>1</v>
      </c>
      <c r="E3536" s="6">
        <v>21706882529</v>
      </c>
      <c r="F3536" s="6" t="s">
        <v>16</v>
      </c>
      <c r="G3536" s="6" t="s">
        <v>17</v>
      </c>
      <c r="H3536" s="6" t="s">
        <v>141</v>
      </c>
      <c r="I3536" s="6" t="s">
        <v>142</v>
      </c>
      <c r="J3536" s="6" t="s">
        <v>213</v>
      </c>
      <c r="K3536" s="7">
        <v>43609</v>
      </c>
      <c r="L3536" s="8">
        <v>0.33749999999999997</v>
      </c>
      <c r="M3536" s="6" t="s">
        <v>214</v>
      </c>
      <c r="N3536" s="14" t="s">
        <v>21</v>
      </c>
      <c r="O3536" s="6" t="s">
        <v>22</v>
      </c>
    </row>
    <row r="3537" spans="1:15" hidden="1">
      <c r="A3537" s="6" t="s">
        <v>15</v>
      </c>
      <c r="B3537" s="6" t="str">
        <f>"FES1162691531"</f>
        <v>FES1162691531</v>
      </c>
      <c r="C3537" s="7">
        <v>43608</v>
      </c>
      <c r="D3537" s="6">
        <v>1</v>
      </c>
      <c r="E3537" s="6">
        <v>2170688004</v>
      </c>
      <c r="F3537" s="6" t="s">
        <v>16</v>
      </c>
      <c r="G3537" s="6" t="s">
        <v>17</v>
      </c>
      <c r="H3537" s="6" t="s">
        <v>141</v>
      </c>
      <c r="I3537" s="6" t="s">
        <v>142</v>
      </c>
      <c r="J3537" s="6" t="s">
        <v>213</v>
      </c>
      <c r="K3537" s="7">
        <v>43609</v>
      </c>
      <c r="L3537" s="8">
        <v>0.33749999999999997</v>
      </c>
      <c r="M3537" s="6" t="s">
        <v>214</v>
      </c>
      <c r="N3537" s="14" t="s">
        <v>21</v>
      </c>
      <c r="O3537" s="6" t="s">
        <v>22</v>
      </c>
    </row>
    <row r="3538" spans="1:15" hidden="1">
      <c r="A3538" s="6" t="s">
        <v>15</v>
      </c>
      <c r="B3538" s="6" t="str">
        <f>"FES1162691667"</f>
        <v>FES1162691667</v>
      </c>
      <c r="C3538" s="7">
        <v>43608</v>
      </c>
      <c r="D3538" s="6">
        <v>1</v>
      </c>
      <c r="E3538" s="6">
        <v>2170689972</v>
      </c>
      <c r="F3538" s="6" t="s">
        <v>16</v>
      </c>
      <c r="G3538" s="6" t="s">
        <v>17</v>
      </c>
      <c r="H3538" s="6" t="s">
        <v>141</v>
      </c>
      <c r="I3538" s="6" t="s">
        <v>185</v>
      </c>
      <c r="J3538" s="6" t="s">
        <v>210</v>
      </c>
      <c r="K3538" s="7">
        <v>43609</v>
      </c>
      <c r="L3538" s="8">
        <v>0.3611111111111111</v>
      </c>
      <c r="M3538" s="6" t="s">
        <v>211</v>
      </c>
      <c r="N3538" s="14" t="s">
        <v>21</v>
      </c>
      <c r="O3538" s="6" t="s">
        <v>22</v>
      </c>
    </row>
    <row r="3539" spans="1:15" hidden="1">
      <c r="A3539" s="6" t="s">
        <v>15</v>
      </c>
      <c r="B3539" s="6" t="str">
        <f>"FES1162691440"</f>
        <v>FES1162691440</v>
      </c>
      <c r="C3539" s="7">
        <v>43608</v>
      </c>
      <c r="D3539" s="6">
        <v>1</v>
      </c>
      <c r="E3539" s="6">
        <v>2170687287</v>
      </c>
      <c r="F3539" s="6" t="s">
        <v>16</v>
      </c>
      <c r="G3539" s="6" t="s">
        <v>17</v>
      </c>
      <c r="H3539" s="6" t="s">
        <v>141</v>
      </c>
      <c r="I3539" s="6" t="s">
        <v>185</v>
      </c>
      <c r="J3539" s="6" t="s">
        <v>210</v>
      </c>
      <c r="K3539" s="7">
        <v>43609</v>
      </c>
      <c r="L3539" s="8">
        <v>0.3611111111111111</v>
      </c>
      <c r="M3539" s="6" t="s">
        <v>211</v>
      </c>
      <c r="N3539" s="14" t="s">
        <v>21</v>
      </c>
      <c r="O3539" s="6" t="s">
        <v>22</v>
      </c>
    </row>
    <row r="3540" spans="1:15" hidden="1">
      <c r="A3540" s="6" t="s">
        <v>15</v>
      </c>
      <c r="B3540" s="6" t="str">
        <f>"FES1162691587"</f>
        <v>FES1162691587</v>
      </c>
      <c r="C3540" s="7">
        <v>43608</v>
      </c>
      <c r="D3540" s="6">
        <v>1</v>
      </c>
      <c r="E3540" s="6">
        <v>2170688728</v>
      </c>
      <c r="F3540" s="6" t="s">
        <v>16</v>
      </c>
      <c r="G3540" s="6" t="s">
        <v>17</v>
      </c>
      <c r="H3540" s="6" t="s">
        <v>32</v>
      </c>
      <c r="I3540" s="6" t="s">
        <v>33</v>
      </c>
      <c r="J3540" s="6" t="s">
        <v>357</v>
      </c>
      <c r="K3540" s="7">
        <v>43609</v>
      </c>
      <c r="L3540" s="8">
        <v>0.38194444444444442</v>
      </c>
      <c r="M3540" s="6" t="s">
        <v>2201</v>
      </c>
      <c r="N3540" s="14" t="s">
        <v>21</v>
      </c>
      <c r="O3540" s="6" t="s">
        <v>22</v>
      </c>
    </row>
    <row r="3541" spans="1:15">
      <c r="A3541" s="6" t="s">
        <v>15</v>
      </c>
      <c r="B3541" s="6" t="str">
        <f>"FES1162691619"</f>
        <v>FES1162691619</v>
      </c>
      <c r="C3541" s="7">
        <v>43608</v>
      </c>
      <c r="D3541" s="6">
        <v>1</v>
      </c>
      <c r="E3541" s="6">
        <v>2170689925</v>
      </c>
      <c r="F3541" s="6" t="s">
        <v>16</v>
      </c>
      <c r="G3541" s="6" t="s">
        <v>17</v>
      </c>
      <c r="H3541" s="6" t="s">
        <v>17</v>
      </c>
      <c r="I3541" s="6" t="s">
        <v>103</v>
      </c>
      <c r="J3541" s="6" t="s">
        <v>4321</v>
      </c>
      <c r="K3541" s="7">
        <v>43609</v>
      </c>
      <c r="L3541" s="8">
        <v>0.33194444444444443</v>
      </c>
      <c r="M3541" s="6" t="s">
        <v>996</v>
      </c>
      <c r="N3541" s="14" t="s">
        <v>21</v>
      </c>
      <c r="O3541" s="6" t="s">
        <v>22</v>
      </c>
    </row>
    <row r="3542" spans="1:15">
      <c r="A3542" s="6" t="s">
        <v>15</v>
      </c>
      <c r="B3542" s="6" t="str">
        <f>"FES1162691483"</f>
        <v>FES1162691483</v>
      </c>
      <c r="C3542" s="7">
        <v>43608</v>
      </c>
      <c r="D3542" s="6">
        <v>1</v>
      </c>
      <c r="E3542" s="6">
        <v>21706889845</v>
      </c>
      <c r="F3542" s="6" t="s">
        <v>16</v>
      </c>
      <c r="G3542" s="6" t="s">
        <v>17</v>
      </c>
      <c r="H3542" s="6" t="s">
        <v>17</v>
      </c>
      <c r="I3542" s="6" t="s">
        <v>64</v>
      </c>
      <c r="J3542" s="6" t="s">
        <v>724</v>
      </c>
      <c r="K3542" s="7">
        <v>43609</v>
      </c>
      <c r="L3542" s="8">
        <v>0.33333333333333331</v>
      </c>
      <c r="M3542" s="6" t="s">
        <v>4322</v>
      </c>
      <c r="N3542" s="14" t="s">
        <v>21</v>
      </c>
      <c r="O3542" s="6" t="s">
        <v>22</v>
      </c>
    </row>
    <row r="3543" spans="1:15" hidden="1">
      <c r="A3543" s="6" t="s">
        <v>15</v>
      </c>
      <c r="B3543" s="6" t="str">
        <f>"FES1162691706"</f>
        <v>FES1162691706</v>
      </c>
      <c r="C3543" s="7">
        <v>43608</v>
      </c>
      <c r="D3543" s="6">
        <v>1</v>
      </c>
      <c r="E3543" s="6">
        <v>21706890024</v>
      </c>
      <c r="F3543" s="6" t="s">
        <v>16</v>
      </c>
      <c r="G3543" s="6" t="s">
        <v>17</v>
      </c>
      <c r="H3543" s="6" t="s">
        <v>43</v>
      </c>
      <c r="I3543" s="6" t="s">
        <v>44</v>
      </c>
      <c r="J3543" s="6" t="s">
        <v>45</v>
      </c>
      <c r="K3543" s="7">
        <v>43609</v>
      </c>
      <c r="L3543" s="8">
        <v>0.34513888888888888</v>
      </c>
      <c r="M3543" s="6" t="s">
        <v>46</v>
      </c>
      <c r="N3543" s="14" t="s">
        <v>21</v>
      </c>
      <c r="O3543" s="6" t="s">
        <v>22</v>
      </c>
    </row>
    <row r="3544" spans="1:15" hidden="1">
      <c r="A3544" s="6" t="s">
        <v>15</v>
      </c>
      <c r="B3544" s="6" t="str">
        <f>"FES1162691683"</f>
        <v>FES1162691683</v>
      </c>
      <c r="C3544" s="7">
        <v>43608</v>
      </c>
      <c r="D3544" s="6">
        <v>1</v>
      </c>
      <c r="E3544" s="6">
        <v>2170689996</v>
      </c>
      <c r="F3544" s="6" t="s">
        <v>16</v>
      </c>
      <c r="G3544" s="6" t="s">
        <v>17</v>
      </c>
      <c r="H3544" s="6" t="s">
        <v>37</v>
      </c>
      <c r="I3544" s="6" t="s">
        <v>38</v>
      </c>
      <c r="J3544" s="6" t="s">
        <v>4100</v>
      </c>
      <c r="K3544" s="7">
        <v>43609</v>
      </c>
      <c r="L3544" s="8">
        <v>0.35069444444444442</v>
      </c>
      <c r="M3544" s="6" t="s">
        <v>4101</v>
      </c>
      <c r="N3544" s="14" t="s">
        <v>21</v>
      </c>
      <c r="O3544" s="6" t="s">
        <v>22</v>
      </c>
    </row>
    <row r="3545" spans="1:15" hidden="1">
      <c r="A3545" s="6" t="s">
        <v>15</v>
      </c>
      <c r="B3545" s="6" t="str">
        <f>"FES1162691616"</f>
        <v>FES1162691616</v>
      </c>
      <c r="C3545" s="7">
        <v>43608</v>
      </c>
      <c r="D3545" s="6">
        <v>1</v>
      </c>
      <c r="E3545" s="6">
        <v>2170689922</v>
      </c>
      <c r="F3545" s="6" t="s">
        <v>16</v>
      </c>
      <c r="G3545" s="6" t="s">
        <v>17</v>
      </c>
      <c r="H3545" s="6" t="s">
        <v>32</v>
      </c>
      <c r="I3545" s="6" t="s">
        <v>33</v>
      </c>
      <c r="J3545" s="6" t="s">
        <v>357</v>
      </c>
      <c r="K3545" s="7">
        <v>43609</v>
      </c>
      <c r="L3545" s="8">
        <v>0.38194444444444442</v>
      </c>
      <c r="M3545" s="6" t="s">
        <v>2201</v>
      </c>
      <c r="N3545" s="14" t="s">
        <v>21</v>
      </c>
      <c r="O3545" s="6" t="s">
        <v>22</v>
      </c>
    </row>
    <row r="3546" spans="1:15" hidden="1">
      <c r="A3546" s="6" t="s">
        <v>15</v>
      </c>
      <c r="B3546" s="6" t="str">
        <f>"FES1162691578"</f>
        <v>FES1162691578</v>
      </c>
      <c r="C3546" s="7">
        <v>43608</v>
      </c>
      <c r="D3546" s="6">
        <v>1</v>
      </c>
      <c r="E3546" s="6">
        <v>2170688358</v>
      </c>
      <c r="F3546" s="6" t="s">
        <v>16</v>
      </c>
      <c r="G3546" s="6" t="s">
        <v>17</v>
      </c>
      <c r="H3546" s="6" t="s">
        <v>141</v>
      </c>
      <c r="I3546" s="6" t="s">
        <v>142</v>
      </c>
      <c r="J3546" s="6" t="s">
        <v>1819</v>
      </c>
      <c r="K3546" s="7">
        <v>43609</v>
      </c>
      <c r="L3546" s="8">
        <v>0.38125000000000003</v>
      </c>
      <c r="M3546" s="6" t="s">
        <v>3842</v>
      </c>
      <c r="N3546" s="14" t="s">
        <v>21</v>
      </c>
      <c r="O3546" s="6" t="s">
        <v>22</v>
      </c>
    </row>
    <row r="3547" spans="1:15" hidden="1">
      <c r="A3547" s="6" t="s">
        <v>15</v>
      </c>
      <c r="B3547" s="6" t="str">
        <f>"FES1162691495"</f>
        <v>FES1162691495</v>
      </c>
      <c r="C3547" s="7">
        <v>43608</v>
      </c>
      <c r="D3547" s="6">
        <v>1</v>
      </c>
      <c r="E3547" s="6">
        <v>2170689864</v>
      </c>
      <c r="F3547" s="6" t="s">
        <v>16</v>
      </c>
      <c r="G3547" s="6" t="s">
        <v>17</v>
      </c>
      <c r="H3547" s="6" t="s">
        <v>141</v>
      </c>
      <c r="I3547" s="6" t="s">
        <v>185</v>
      </c>
      <c r="J3547" s="6" t="s">
        <v>503</v>
      </c>
      <c r="K3547" s="7">
        <v>43609</v>
      </c>
      <c r="L3547" s="8">
        <v>0.40902777777777777</v>
      </c>
      <c r="M3547" s="6" t="s">
        <v>1355</v>
      </c>
      <c r="N3547" s="14" t="s">
        <v>21</v>
      </c>
      <c r="O3547" s="6" t="s">
        <v>22</v>
      </c>
    </row>
    <row r="3548" spans="1:15" hidden="1">
      <c r="A3548" s="6" t="s">
        <v>15</v>
      </c>
      <c r="B3548" s="6" t="str">
        <f>"FES1162691540"</f>
        <v>FES1162691540</v>
      </c>
      <c r="C3548" s="7">
        <v>43608</v>
      </c>
      <c r="D3548" s="6">
        <v>1</v>
      </c>
      <c r="E3548" s="6">
        <v>2170688052</v>
      </c>
      <c r="F3548" s="6" t="s">
        <v>58</v>
      </c>
      <c r="G3548" s="6" t="s">
        <v>59</v>
      </c>
      <c r="H3548" s="6" t="s">
        <v>59</v>
      </c>
      <c r="I3548" s="6" t="s">
        <v>1553</v>
      </c>
      <c r="J3548" s="6" t="s">
        <v>4106</v>
      </c>
      <c r="K3548" s="7">
        <v>43609</v>
      </c>
      <c r="L3548" s="8">
        <v>0.43055555555555558</v>
      </c>
      <c r="M3548" s="6" t="s">
        <v>4107</v>
      </c>
      <c r="N3548" s="14" t="s">
        <v>21</v>
      </c>
      <c r="O3548" s="6" t="s">
        <v>22</v>
      </c>
    </row>
    <row r="3549" spans="1:15" hidden="1">
      <c r="A3549" s="6" t="s">
        <v>15</v>
      </c>
      <c r="B3549" s="6" t="str">
        <f>"FES1162691529"</f>
        <v>FES1162691529</v>
      </c>
      <c r="C3549" s="7">
        <v>43608</v>
      </c>
      <c r="D3549" s="6">
        <v>1</v>
      </c>
      <c r="E3549" s="6">
        <v>2170687983</v>
      </c>
      <c r="F3549" s="6" t="s">
        <v>16</v>
      </c>
      <c r="G3549" s="6" t="s">
        <v>17</v>
      </c>
      <c r="H3549" s="6" t="s">
        <v>141</v>
      </c>
      <c r="I3549" s="6" t="s">
        <v>142</v>
      </c>
      <c r="J3549" s="6" t="s">
        <v>213</v>
      </c>
      <c r="K3549" s="7">
        <v>43609</v>
      </c>
      <c r="L3549" s="8">
        <v>0.33749999999999997</v>
      </c>
      <c r="M3549" s="6" t="s">
        <v>214</v>
      </c>
      <c r="N3549" s="14" t="s">
        <v>21</v>
      </c>
      <c r="O3549" s="6" t="s">
        <v>22</v>
      </c>
    </row>
    <row r="3550" spans="1:15" hidden="1">
      <c r="A3550" s="6" t="s">
        <v>15</v>
      </c>
      <c r="B3550" s="6" t="str">
        <f>"FES1162691664"</f>
        <v>FES1162691664</v>
      </c>
      <c r="C3550" s="7">
        <v>43608</v>
      </c>
      <c r="D3550" s="6">
        <v>1</v>
      </c>
      <c r="E3550" s="6">
        <v>2170689970</v>
      </c>
      <c r="F3550" s="6" t="s">
        <v>16</v>
      </c>
      <c r="G3550" s="6" t="s">
        <v>17</v>
      </c>
      <c r="H3550" s="6" t="s">
        <v>37</v>
      </c>
      <c r="I3550" s="6" t="s">
        <v>38</v>
      </c>
      <c r="J3550" s="6" t="s">
        <v>1777</v>
      </c>
      <c r="K3550" s="7">
        <v>43609</v>
      </c>
      <c r="L3550" s="8">
        <v>0.34375</v>
      </c>
      <c r="M3550" s="6" t="s">
        <v>1778</v>
      </c>
      <c r="N3550" s="14" t="s">
        <v>21</v>
      </c>
      <c r="O3550" s="6" t="s">
        <v>22</v>
      </c>
    </row>
    <row r="3551" spans="1:15" hidden="1">
      <c r="A3551" s="6" t="s">
        <v>15</v>
      </c>
      <c r="B3551" s="6" t="str">
        <f>"FES1162691545"</f>
        <v>FES1162691545</v>
      </c>
      <c r="C3551" s="7">
        <v>43608</v>
      </c>
      <c r="D3551" s="6">
        <v>1</v>
      </c>
      <c r="E3551" s="6">
        <v>2170688093</v>
      </c>
      <c r="F3551" s="6" t="s">
        <v>16</v>
      </c>
      <c r="G3551" s="6" t="s">
        <v>17</v>
      </c>
      <c r="H3551" s="6" t="s">
        <v>32</v>
      </c>
      <c r="I3551" s="6" t="s">
        <v>33</v>
      </c>
      <c r="J3551" s="6" t="s">
        <v>778</v>
      </c>
      <c r="K3551" s="7">
        <v>43609</v>
      </c>
      <c r="L3551" s="8">
        <v>0.3888888888888889</v>
      </c>
      <c r="M3551" s="6" t="s">
        <v>3244</v>
      </c>
      <c r="N3551" s="14" t="s">
        <v>21</v>
      </c>
      <c r="O3551" s="6" t="s">
        <v>22</v>
      </c>
    </row>
    <row r="3552" spans="1:15" hidden="1">
      <c r="A3552" s="6" t="s">
        <v>15</v>
      </c>
      <c r="B3552" s="6" t="str">
        <f>"FES1162691543"</f>
        <v>FES1162691543</v>
      </c>
      <c r="C3552" s="7">
        <v>43608</v>
      </c>
      <c r="D3552" s="6">
        <v>1</v>
      </c>
      <c r="E3552" s="6">
        <v>2170688082</v>
      </c>
      <c r="F3552" s="6" t="s">
        <v>16</v>
      </c>
      <c r="G3552" s="6" t="s">
        <v>17</v>
      </c>
      <c r="H3552" s="6" t="s">
        <v>32</v>
      </c>
      <c r="I3552" s="6" t="s">
        <v>33</v>
      </c>
      <c r="J3552" s="6" t="s">
        <v>778</v>
      </c>
      <c r="K3552" s="7">
        <v>43609</v>
      </c>
      <c r="L3552" s="8">
        <v>0.3888888888888889</v>
      </c>
      <c r="M3552" s="6" t="s">
        <v>3308</v>
      </c>
      <c r="N3552" s="14" t="s">
        <v>21</v>
      </c>
      <c r="O3552" s="6" t="s">
        <v>22</v>
      </c>
    </row>
    <row r="3553" spans="1:15" hidden="1">
      <c r="A3553" s="6" t="s">
        <v>15</v>
      </c>
      <c r="B3553" s="6" t="str">
        <f>"FES1162691686"</f>
        <v>FES1162691686</v>
      </c>
      <c r="C3553" s="7">
        <v>43608</v>
      </c>
      <c r="D3553" s="6">
        <v>1</v>
      </c>
      <c r="E3553" s="6">
        <v>2170689915</v>
      </c>
      <c r="F3553" s="6" t="s">
        <v>16</v>
      </c>
      <c r="G3553" s="6" t="s">
        <v>17</v>
      </c>
      <c r="H3553" s="6" t="s">
        <v>32</v>
      </c>
      <c r="I3553" s="6" t="s">
        <v>33</v>
      </c>
      <c r="J3553" s="6" t="s">
        <v>2108</v>
      </c>
      <c r="K3553" s="7">
        <v>43609</v>
      </c>
      <c r="L3553" s="8">
        <v>0.3430555555555555</v>
      </c>
      <c r="M3553" s="6" t="s">
        <v>4113</v>
      </c>
      <c r="N3553" s="14" t="s">
        <v>21</v>
      </c>
      <c r="O3553" s="6" t="s">
        <v>22</v>
      </c>
    </row>
    <row r="3554" spans="1:15" hidden="1">
      <c r="A3554" s="6" t="s">
        <v>15</v>
      </c>
      <c r="B3554" s="6" t="str">
        <f>"FES1162691620"</f>
        <v>FES1162691620</v>
      </c>
      <c r="C3554" s="7">
        <v>43608</v>
      </c>
      <c r="D3554" s="6">
        <v>1</v>
      </c>
      <c r="E3554" s="6">
        <v>2170689926</v>
      </c>
      <c r="F3554" s="6" t="s">
        <v>16</v>
      </c>
      <c r="G3554" s="6" t="s">
        <v>17</v>
      </c>
      <c r="H3554" s="6" t="s">
        <v>32</v>
      </c>
      <c r="I3554" s="6" t="s">
        <v>33</v>
      </c>
      <c r="J3554" s="6" t="s">
        <v>778</v>
      </c>
      <c r="K3554" s="7">
        <v>43609</v>
      </c>
      <c r="L3554" s="8">
        <v>0.3888888888888889</v>
      </c>
      <c r="M3554" s="6" t="s">
        <v>3244</v>
      </c>
      <c r="N3554" s="14" t="s">
        <v>21</v>
      </c>
      <c r="O3554" s="6" t="s">
        <v>22</v>
      </c>
    </row>
    <row r="3555" spans="1:15" hidden="1">
      <c r="A3555" s="6" t="s">
        <v>15</v>
      </c>
      <c r="B3555" s="6" t="str">
        <f>"FES1162691610"</f>
        <v>FES1162691610</v>
      </c>
      <c r="C3555" s="7">
        <v>43608</v>
      </c>
      <c r="D3555" s="6">
        <v>1</v>
      </c>
      <c r="E3555" s="6">
        <v>2170689912</v>
      </c>
      <c r="F3555" s="6" t="s">
        <v>16</v>
      </c>
      <c r="G3555" s="6" t="s">
        <v>17</v>
      </c>
      <c r="H3555" s="6" t="s">
        <v>132</v>
      </c>
      <c r="I3555" s="6" t="s">
        <v>838</v>
      </c>
      <c r="J3555" s="6" t="s">
        <v>839</v>
      </c>
      <c r="K3555" s="7">
        <v>43609</v>
      </c>
      <c r="L3555" s="8">
        <v>0.47013888888888888</v>
      </c>
      <c r="M3555" s="6" t="s">
        <v>4116</v>
      </c>
      <c r="N3555" s="14" t="s">
        <v>21</v>
      </c>
      <c r="O3555" s="6" t="s">
        <v>22</v>
      </c>
    </row>
    <row r="3556" spans="1:15" hidden="1">
      <c r="A3556" s="6" t="s">
        <v>15</v>
      </c>
      <c r="B3556" s="6" t="str">
        <f>"FES1162691542"</f>
        <v>FES1162691542</v>
      </c>
      <c r="C3556" s="7">
        <v>43608</v>
      </c>
      <c r="D3556" s="6">
        <v>1</v>
      </c>
      <c r="E3556" s="6">
        <v>2170688070</v>
      </c>
      <c r="F3556" s="6" t="s">
        <v>16</v>
      </c>
      <c r="G3556" s="6" t="s">
        <v>17</v>
      </c>
      <c r="H3556" s="6" t="s">
        <v>32</v>
      </c>
      <c r="I3556" s="6" t="s">
        <v>33</v>
      </c>
      <c r="J3556" s="6" t="s">
        <v>284</v>
      </c>
      <c r="K3556" s="7">
        <v>43609</v>
      </c>
      <c r="L3556" s="8">
        <v>0.43402777777777773</v>
      </c>
      <c r="M3556" s="6" t="s">
        <v>2072</v>
      </c>
      <c r="N3556" s="14" t="s">
        <v>21</v>
      </c>
      <c r="O3556" s="6" t="s">
        <v>22</v>
      </c>
    </row>
    <row r="3557" spans="1:15" hidden="1">
      <c r="A3557" s="6" t="s">
        <v>15</v>
      </c>
      <c r="B3557" s="6" t="str">
        <f>"FES1162691524"</f>
        <v>FES1162691524</v>
      </c>
      <c r="C3557" s="7">
        <v>43608</v>
      </c>
      <c r="D3557" s="6">
        <v>1</v>
      </c>
      <c r="E3557" s="6">
        <v>2170687821</v>
      </c>
      <c r="F3557" s="6" t="s">
        <v>16</v>
      </c>
      <c r="G3557" s="6" t="s">
        <v>17</v>
      </c>
      <c r="H3557" s="6" t="s">
        <v>141</v>
      </c>
      <c r="I3557" s="6" t="s">
        <v>142</v>
      </c>
      <c r="J3557" s="6" t="s">
        <v>864</v>
      </c>
      <c r="K3557" s="7">
        <v>43609</v>
      </c>
      <c r="L3557" s="8">
        <v>0.36805555555555558</v>
      </c>
      <c r="M3557" s="6" t="s">
        <v>2254</v>
      </c>
      <c r="N3557" s="14" t="s">
        <v>21</v>
      </c>
      <c r="O3557" s="6" t="s">
        <v>22</v>
      </c>
    </row>
    <row r="3558" spans="1:15" hidden="1">
      <c r="A3558" s="6" t="s">
        <v>15</v>
      </c>
      <c r="B3558" s="6" t="str">
        <f>"FES1162691500"</f>
        <v>FES1162691500</v>
      </c>
      <c r="C3558" s="7">
        <v>43608</v>
      </c>
      <c r="D3558" s="6">
        <v>1</v>
      </c>
      <c r="E3558" s="6">
        <v>2170689872</v>
      </c>
      <c r="F3558" s="6" t="s">
        <v>16</v>
      </c>
      <c r="G3558" s="6" t="s">
        <v>17</v>
      </c>
      <c r="H3558" s="6" t="s">
        <v>141</v>
      </c>
      <c r="I3558" s="6" t="s">
        <v>185</v>
      </c>
      <c r="J3558" s="6" t="s">
        <v>473</v>
      </c>
      <c r="K3558" s="7">
        <v>43609</v>
      </c>
      <c r="L3558" s="8">
        <v>0.40902777777777777</v>
      </c>
      <c r="M3558" s="6" t="s">
        <v>1355</v>
      </c>
      <c r="N3558" s="14" t="s">
        <v>21</v>
      </c>
      <c r="O3558" s="6" t="s">
        <v>22</v>
      </c>
    </row>
    <row r="3559" spans="1:15" hidden="1">
      <c r="A3559" s="6" t="s">
        <v>15</v>
      </c>
      <c r="B3559" s="6" t="str">
        <f>"FES1162691615"</f>
        <v>FES1162691615</v>
      </c>
      <c r="C3559" s="7">
        <v>43608</v>
      </c>
      <c r="D3559" s="6">
        <v>1</v>
      </c>
      <c r="E3559" s="6">
        <v>2170689921</v>
      </c>
      <c r="F3559" s="6" t="s">
        <v>16</v>
      </c>
      <c r="G3559" s="6" t="s">
        <v>17</v>
      </c>
      <c r="H3559" s="6" t="s">
        <v>32</v>
      </c>
      <c r="I3559" s="6" t="s">
        <v>33</v>
      </c>
      <c r="J3559" s="6" t="s">
        <v>2432</v>
      </c>
      <c r="K3559" s="7">
        <v>43609</v>
      </c>
      <c r="L3559" s="8">
        <v>0.4152777777777778</v>
      </c>
      <c r="M3559" s="6" t="s">
        <v>4120</v>
      </c>
      <c r="N3559" s="14" t="s">
        <v>21</v>
      </c>
      <c r="O3559" s="6" t="s">
        <v>22</v>
      </c>
    </row>
    <row r="3560" spans="1:15" hidden="1">
      <c r="A3560" s="6" t="s">
        <v>15</v>
      </c>
      <c r="B3560" s="6" t="str">
        <f>"FES1162691570"</f>
        <v>FES1162691570</v>
      </c>
      <c r="C3560" s="7">
        <v>43608</v>
      </c>
      <c r="D3560" s="6">
        <v>1</v>
      </c>
      <c r="E3560" s="6">
        <v>2170688332</v>
      </c>
      <c r="F3560" s="6" t="s">
        <v>58</v>
      </c>
      <c r="G3560" s="6" t="s">
        <v>59</v>
      </c>
      <c r="H3560" s="6" t="s">
        <v>59</v>
      </c>
      <c r="I3560" s="6" t="s">
        <v>1984</v>
      </c>
      <c r="J3560" s="6" t="s">
        <v>2605</v>
      </c>
      <c r="K3560" s="7">
        <v>43609</v>
      </c>
      <c r="L3560" s="8">
        <v>0.33333333333333331</v>
      </c>
      <c r="M3560" s="6" t="s">
        <v>3544</v>
      </c>
      <c r="N3560" s="14" t="s">
        <v>21</v>
      </c>
      <c r="O3560" s="6" t="s">
        <v>22</v>
      </c>
    </row>
    <row r="3561" spans="1:15" hidden="1">
      <c r="A3561" s="6" t="s">
        <v>15</v>
      </c>
      <c r="B3561" s="6" t="str">
        <f>"FES1162691554"</f>
        <v>FES1162691554</v>
      </c>
      <c r="C3561" s="7">
        <v>43608</v>
      </c>
      <c r="D3561" s="6">
        <v>1</v>
      </c>
      <c r="E3561" s="6">
        <v>2170688154</v>
      </c>
      <c r="F3561" s="6" t="s">
        <v>16</v>
      </c>
      <c r="G3561" s="6" t="s">
        <v>17</v>
      </c>
      <c r="H3561" s="6" t="s">
        <v>141</v>
      </c>
      <c r="I3561" s="6" t="s">
        <v>185</v>
      </c>
      <c r="J3561" s="6" t="s">
        <v>1250</v>
      </c>
      <c r="K3561" s="7">
        <v>43609</v>
      </c>
      <c r="L3561" s="8">
        <v>0.41944444444444445</v>
      </c>
      <c r="M3561" s="6" t="s">
        <v>2411</v>
      </c>
      <c r="N3561" s="14" t="s">
        <v>21</v>
      </c>
      <c r="O3561" s="6" t="s">
        <v>22</v>
      </c>
    </row>
    <row r="3562" spans="1:15" hidden="1">
      <c r="A3562" s="6" t="s">
        <v>15</v>
      </c>
      <c r="B3562" s="6" t="str">
        <f>"FES1162691562"</f>
        <v>FES1162691562</v>
      </c>
      <c r="C3562" s="7">
        <v>43608</v>
      </c>
      <c r="D3562" s="6">
        <v>1</v>
      </c>
      <c r="E3562" s="6">
        <v>2170688196</v>
      </c>
      <c r="F3562" s="6" t="s">
        <v>16</v>
      </c>
      <c r="G3562" s="6" t="s">
        <v>17</v>
      </c>
      <c r="H3562" s="6" t="s">
        <v>32</v>
      </c>
      <c r="I3562" s="6" t="s">
        <v>33</v>
      </c>
      <c r="J3562" s="6" t="s">
        <v>360</v>
      </c>
      <c r="K3562" s="7">
        <v>43609</v>
      </c>
      <c r="L3562" s="8">
        <v>0.36041666666666666</v>
      </c>
      <c r="M3562" s="6" t="s">
        <v>793</v>
      </c>
      <c r="N3562" s="14" t="s">
        <v>21</v>
      </c>
      <c r="O3562" s="6" t="s">
        <v>22</v>
      </c>
    </row>
    <row r="3563" spans="1:15" hidden="1">
      <c r="A3563" s="6" t="s">
        <v>15</v>
      </c>
      <c r="B3563" s="6" t="str">
        <f>"FES1162691594"</f>
        <v>FES1162691594</v>
      </c>
      <c r="C3563" s="7">
        <v>43608</v>
      </c>
      <c r="D3563" s="6">
        <v>1</v>
      </c>
      <c r="E3563" s="6">
        <v>2170689898</v>
      </c>
      <c r="F3563" s="6" t="s">
        <v>16</v>
      </c>
      <c r="G3563" s="6" t="s">
        <v>17</v>
      </c>
      <c r="H3563" s="6" t="s">
        <v>290</v>
      </c>
      <c r="I3563" s="6" t="s">
        <v>309</v>
      </c>
      <c r="J3563" s="6" t="s">
        <v>4123</v>
      </c>
      <c r="K3563" s="7">
        <v>43609</v>
      </c>
      <c r="L3563" s="8">
        <v>0.40972222222222227</v>
      </c>
      <c r="M3563" s="6" t="s">
        <v>4124</v>
      </c>
      <c r="N3563" s="14" t="s">
        <v>21</v>
      </c>
      <c r="O3563" s="6" t="s">
        <v>22</v>
      </c>
    </row>
    <row r="3564" spans="1:15" hidden="1">
      <c r="A3564" s="6" t="s">
        <v>15</v>
      </c>
      <c r="B3564" s="6" t="str">
        <f>"FES1162691595"</f>
        <v>FES1162691595</v>
      </c>
      <c r="C3564" s="7">
        <v>43608</v>
      </c>
      <c r="D3564" s="6">
        <v>1</v>
      </c>
      <c r="E3564" s="6">
        <v>2170688589</v>
      </c>
      <c r="F3564" s="6" t="s">
        <v>1433</v>
      </c>
      <c r="G3564" s="6" t="s">
        <v>59</v>
      </c>
      <c r="H3564" s="6" t="s">
        <v>59</v>
      </c>
      <c r="I3564" s="6" t="s">
        <v>64</v>
      </c>
      <c r="J3564" s="6" t="s">
        <v>116</v>
      </c>
      <c r="K3564" s="7">
        <v>43609</v>
      </c>
      <c r="L3564" s="8">
        <v>0.4375</v>
      </c>
      <c r="M3564" s="6" t="s">
        <v>4323</v>
      </c>
      <c r="N3564" s="14" t="s">
        <v>21</v>
      </c>
      <c r="O3564" s="6" t="s">
        <v>22</v>
      </c>
    </row>
    <row r="3565" spans="1:15" hidden="1">
      <c r="A3565" s="6" t="s">
        <v>15</v>
      </c>
      <c r="B3565" s="6" t="str">
        <f>"FES1162691558"</f>
        <v>FES1162691558</v>
      </c>
      <c r="C3565" s="7">
        <v>43608</v>
      </c>
      <c r="D3565" s="6">
        <v>1</v>
      </c>
      <c r="E3565" s="6">
        <v>2170688167</v>
      </c>
      <c r="F3565" s="6" t="s">
        <v>16</v>
      </c>
      <c r="G3565" s="6" t="s">
        <v>17</v>
      </c>
      <c r="H3565" s="6" t="s">
        <v>32</v>
      </c>
      <c r="I3565" s="6" t="s">
        <v>269</v>
      </c>
      <c r="J3565" s="6" t="s">
        <v>683</v>
      </c>
      <c r="K3565" s="7">
        <v>43609</v>
      </c>
      <c r="L3565" s="8">
        <v>0.34722222222222227</v>
      </c>
      <c r="M3565" s="6" t="s">
        <v>684</v>
      </c>
      <c r="N3565" s="14" t="s">
        <v>21</v>
      </c>
      <c r="O3565" s="6" t="s">
        <v>22</v>
      </c>
    </row>
    <row r="3566" spans="1:15">
      <c r="A3566" s="6" t="s">
        <v>15</v>
      </c>
      <c r="B3566" s="6" t="str">
        <f>"FES1162691637"</f>
        <v>FES1162691637</v>
      </c>
      <c r="C3566" s="7">
        <v>43608</v>
      </c>
      <c r="D3566" s="6">
        <v>1</v>
      </c>
      <c r="E3566" s="6">
        <v>2170689583</v>
      </c>
      <c r="F3566" s="6" t="s">
        <v>16</v>
      </c>
      <c r="G3566" s="6" t="s">
        <v>17</v>
      </c>
      <c r="H3566" s="6" t="s">
        <v>17</v>
      </c>
      <c r="I3566" s="6" t="s">
        <v>18</v>
      </c>
      <c r="J3566" s="6" t="s">
        <v>160</v>
      </c>
      <c r="K3566" s="7">
        <v>43609</v>
      </c>
      <c r="L3566" s="8">
        <v>0.3444444444444445</v>
      </c>
      <c r="M3566" s="6" t="s">
        <v>325</v>
      </c>
      <c r="N3566" s="14" t="s">
        <v>21</v>
      </c>
      <c r="O3566" s="6" t="s">
        <v>22</v>
      </c>
    </row>
    <row r="3567" spans="1:15" hidden="1">
      <c r="A3567" s="6" t="s">
        <v>15</v>
      </c>
      <c r="B3567" s="6" t="str">
        <f>"FES1162691690"</f>
        <v>FES1162691690</v>
      </c>
      <c r="C3567" s="7">
        <v>43608</v>
      </c>
      <c r="D3567" s="6">
        <v>1</v>
      </c>
      <c r="E3567" s="6">
        <v>21706899003</v>
      </c>
      <c r="F3567" s="6" t="s">
        <v>16</v>
      </c>
      <c r="G3567" s="6" t="s">
        <v>17</v>
      </c>
      <c r="H3567" s="6" t="s">
        <v>290</v>
      </c>
      <c r="I3567" s="6" t="s">
        <v>291</v>
      </c>
      <c r="J3567" s="6" t="s">
        <v>1744</v>
      </c>
      <c r="K3567" s="7">
        <v>43609</v>
      </c>
      <c r="L3567" s="8">
        <v>0.35416666666666669</v>
      </c>
      <c r="M3567" s="6" t="s">
        <v>2556</v>
      </c>
      <c r="N3567" s="14" t="s">
        <v>21</v>
      </c>
      <c r="O3567" s="6" t="s">
        <v>22</v>
      </c>
    </row>
    <row r="3568" spans="1:15" hidden="1">
      <c r="A3568" s="6" t="s">
        <v>15</v>
      </c>
      <c r="B3568" s="6" t="str">
        <f>"FES1162691639"</f>
        <v>FES1162691639</v>
      </c>
      <c r="C3568" s="7">
        <v>43608</v>
      </c>
      <c r="D3568" s="6">
        <v>1</v>
      </c>
      <c r="E3568" s="6">
        <v>2170689943</v>
      </c>
      <c r="F3568" s="6" t="s">
        <v>16</v>
      </c>
      <c r="G3568" s="6" t="s">
        <v>17</v>
      </c>
      <c r="H3568" s="6" t="s">
        <v>290</v>
      </c>
      <c r="I3568" s="6" t="s">
        <v>291</v>
      </c>
      <c r="J3568" s="6" t="s">
        <v>1744</v>
      </c>
      <c r="K3568" s="7">
        <v>43609</v>
      </c>
      <c r="L3568" s="8">
        <v>0.35416666666666669</v>
      </c>
      <c r="M3568" s="6" t="s">
        <v>2556</v>
      </c>
      <c r="N3568" s="14" t="s">
        <v>21</v>
      </c>
      <c r="O3568" s="6" t="s">
        <v>22</v>
      </c>
    </row>
    <row r="3569" spans="1:15" hidden="1">
      <c r="A3569" s="6" t="s">
        <v>15</v>
      </c>
      <c r="B3569" s="6" t="str">
        <f>"FES1162691718"</f>
        <v>FES1162691718</v>
      </c>
      <c r="C3569" s="7">
        <v>43608</v>
      </c>
      <c r="D3569" s="6">
        <v>1</v>
      </c>
      <c r="E3569" s="6">
        <v>21706890035</v>
      </c>
      <c r="F3569" s="6" t="s">
        <v>16</v>
      </c>
      <c r="G3569" s="6" t="s">
        <v>17</v>
      </c>
      <c r="H3569" s="6" t="s">
        <v>43</v>
      </c>
      <c r="I3569" s="6" t="s">
        <v>44</v>
      </c>
      <c r="J3569" s="6" t="s">
        <v>1074</v>
      </c>
      <c r="K3569" s="7">
        <v>43609</v>
      </c>
      <c r="L3569" s="8">
        <v>0.51874999999999993</v>
      </c>
      <c r="M3569" s="6" t="s">
        <v>1962</v>
      </c>
      <c r="N3569" s="14" t="s">
        <v>21</v>
      </c>
      <c r="O3569" s="6" t="s">
        <v>22</v>
      </c>
    </row>
    <row r="3570" spans="1:15">
      <c r="A3570" s="6" t="s">
        <v>15</v>
      </c>
      <c r="B3570" s="6" t="str">
        <f>"FES1162691708"</f>
        <v>FES1162691708</v>
      </c>
      <c r="C3570" s="7">
        <v>43608</v>
      </c>
      <c r="D3570" s="6">
        <v>1</v>
      </c>
      <c r="E3570" s="6">
        <v>2170386564</v>
      </c>
      <c r="F3570" s="6" t="s">
        <v>16</v>
      </c>
      <c r="G3570" s="6" t="s">
        <v>17</v>
      </c>
      <c r="H3570" s="6" t="s">
        <v>17</v>
      </c>
      <c r="I3570" s="6" t="s">
        <v>23</v>
      </c>
      <c r="J3570" s="6" t="s">
        <v>106</v>
      </c>
      <c r="K3570" s="7">
        <v>43609</v>
      </c>
      <c r="L3570" s="8">
        <v>0.33333333333333331</v>
      </c>
      <c r="M3570" s="6" t="s">
        <v>107</v>
      </c>
      <c r="N3570" s="14" t="s">
        <v>21</v>
      </c>
      <c r="O3570" s="6" t="s">
        <v>22</v>
      </c>
    </row>
    <row r="3571" spans="1:15" hidden="1">
      <c r="A3571" s="6" t="s">
        <v>15</v>
      </c>
      <c r="B3571" s="6" t="str">
        <f>"FES1162691653"</f>
        <v>FES1162691653</v>
      </c>
      <c r="C3571" s="7">
        <v>43608</v>
      </c>
      <c r="D3571" s="6">
        <v>1</v>
      </c>
      <c r="E3571" s="6">
        <v>2170689958</v>
      </c>
      <c r="F3571" s="6" t="s">
        <v>16</v>
      </c>
      <c r="G3571" s="6" t="s">
        <v>17</v>
      </c>
      <c r="H3571" s="6" t="s">
        <v>290</v>
      </c>
      <c r="I3571" s="6" t="s">
        <v>291</v>
      </c>
      <c r="J3571" s="6" t="s">
        <v>297</v>
      </c>
      <c r="K3571" s="7">
        <v>43609</v>
      </c>
      <c r="L3571" s="8">
        <v>0.34652777777777777</v>
      </c>
      <c r="M3571" s="6" t="s">
        <v>1291</v>
      </c>
      <c r="N3571" s="14" t="s">
        <v>21</v>
      </c>
      <c r="O3571" s="6" t="s">
        <v>22</v>
      </c>
    </row>
    <row r="3572" spans="1:15" hidden="1">
      <c r="A3572" s="6" t="s">
        <v>15</v>
      </c>
      <c r="B3572" s="6" t="str">
        <f>"FES1162691652"</f>
        <v>FES1162691652</v>
      </c>
      <c r="C3572" s="7">
        <v>43608</v>
      </c>
      <c r="D3572" s="6">
        <v>1</v>
      </c>
      <c r="E3572" s="6">
        <v>2170689956</v>
      </c>
      <c r="F3572" s="6" t="s">
        <v>16</v>
      </c>
      <c r="G3572" s="6" t="s">
        <v>17</v>
      </c>
      <c r="H3572" s="6" t="s">
        <v>300</v>
      </c>
      <c r="I3572" s="6" t="s">
        <v>301</v>
      </c>
      <c r="J3572" s="6" t="s">
        <v>506</v>
      </c>
      <c r="K3572" s="7">
        <v>43609</v>
      </c>
      <c r="L3572" s="8">
        <v>0.3923611111111111</v>
      </c>
      <c r="M3572" s="6" t="s">
        <v>4130</v>
      </c>
      <c r="N3572" s="14" t="s">
        <v>21</v>
      </c>
      <c r="O3572" s="6" t="s">
        <v>22</v>
      </c>
    </row>
    <row r="3573" spans="1:15" hidden="1">
      <c r="A3573" s="6" t="s">
        <v>15</v>
      </c>
      <c r="B3573" s="6" t="str">
        <f>"FES1162691707"</f>
        <v>FES1162691707</v>
      </c>
      <c r="C3573" s="7">
        <v>43608</v>
      </c>
      <c r="D3573" s="6">
        <v>1</v>
      </c>
      <c r="E3573" s="6">
        <v>2170690026</v>
      </c>
      <c r="F3573" s="6" t="s">
        <v>16</v>
      </c>
      <c r="G3573" s="6" t="s">
        <v>17</v>
      </c>
      <c r="H3573" s="6" t="s">
        <v>132</v>
      </c>
      <c r="I3573" s="6" t="s">
        <v>133</v>
      </c>
      <c r="J3573" s="6" t="s">
        <v>1813</v>
      </c>
      <c r="K3573" s="7">
        <v>43609</v>
      </c>
      <c r="L3573" s="8">
        <v>0.3923611111111111</v>
      </c>
      <c r="M3573" s="6" t="s">
        <v>1814</v>
      </c>
      <c r="N3573" s="14" t="s">
        <v>21</v>
      </c>
      <c r="O3573" s="6" t="s">
        <v>22</v>
      </c>
    </row>
    <row r="3574" spans="1:15" hidden="1">
      <c r="A3574" s="6" t="s">
        <v>15</v>
      </c>
      <c r="B3574" s="6" t="str">
        <f>"FES1162691719"</f>
        <v>FES1162691719</v>
      </c>
      <c r="C3574" s="7">
        <v>43608</v>
      </c>
      <c r="D3574" s="6">
        <v>1</v>
      </c>
      <c r="E3574" s="6">
        <v>21706890063</v>
      </c>
      <c r="F3574" s="6" t="s">
        <v>16</v>
      </c>
      <c r="G3574" s="6" t="s">
        <v>17</v>
      </c>
      <c r="H3574" s="6" t="s">
        <v>43</v>
      </c>
      <c r="I3574" s="6" t="s">
        <v>44</v>
      </c>
      <c r="J3574" s="6" t="s">
        <v>51</v>
      </c>
      <c r="K3574" s="7">
        <v>43609</v>
      </c>
      <c r="L3574" s="8">
        <v>0.34513888888888888</v>
      </c>
      <c r="M3574" s="6" t="s">
        <v>4011</v>
      </c>
      <c r="N3574" s="14" t="s">
        <v>21</v>
      </c>
      <c r="O3574" s="6" t="s">
        <v>22</v>
      </c>
    </row>
    <row r="3575" spans="1:15">
      <c r="A3575" s="6" t="s">
        <v>15</v>
      </c>
      <c r="B3575" s="6" t="str">
        <f>"FES1162691698"</f>
        <v>FES1162691698</v>
      </c>
      <c r="C3575" s="7">
        <v>43608</v>
      </c>
      <c r="D3575" s="6">
        <v>1</v>
      </c>
      <c r="E3575" s="6">
        <v>21706910012</v>
      </c>
      <c r="F3575" s="6" t="s">
        <v>16</v>
      </c>
      <c r="G3575" s="6" t="s">
        <v>17</v>
      </c>
      <c r="H3575" s="6" t="s">
        <v>17</v>
      </c>
      <c r="I3575" s="6" t="s">
        <v>23</v>
      </c>
      <c r="J3575" s="6" t="s">
        <v>4324</v>
      </c>
      <c r="K3575" s="7">
        <v>43609</v>
      </c>
      <c r="L3575" s="8">
        <v>0.32777777777777778</v>
      </c>
      <c r="M3575" s="6" t="s">
        <v>4325</v>
      </c>
      <c r="N3575" s="14" t="s">
        <v>21</v>
      </c>
      <c r="O3575" s="6" t="s">
        <v>22</v>
      </c>
    </row>
    <row r="3576" spans="1:15" hidden="1">
      <c r="A3576" s="6" t="s">
        <v>15</v>
      </c>
      <c r="B3576" s="6" t="str">
        <f>"FES1162691715"</f>
        <v>FES1162691715</v>
      </c>
      <c r="C3576" s="7">
        <v>43608</v>
      </c>
      <c r="D3576" s="6">
        <v>1</v>
      </c>
      <c r="E3576" s="6">
        <v>2170690032</v>
      </c>
      <c r="F3576" s="6" t="s">
        <v>16</v>
      </c>
      <c r="G3576" s="6" t="s">
        <v>17</v>
      </c>
      <c r="H3576" s="6" t="s">
        <v>43</v>
      </c>
      <c r="I3576" s="6" t="s">
        <v>44</v>
      </c>
      <c r="J3576" s="6" t="s">
        <v>4134</v>
      </c>
      <c r="K3576" s="7">
        <v>43609</v>
      </c>
      <c r="L3576" s="8">
        <v>0.35416666666666669</v>
      </c>
      <c r="M3576" s="6" t="s">
        <v>1569</v>
      </c>
      <c r="N3576" s="14" t="s">
        <v>21</v>
      </c>
      <c r="O3576" s="6" t="s">
        <v>22</v>
      </c>
    </row>
    <row r="3577" spans="1:15" hidden="1">
      <c r="A3577" s="6" t="s">
        <v>15</v>
      </c>
      <c r="B3577" s="6" t="str">
        <f>"FES1162691544"</f>
        <v>FES1162691544</v>
      </c>
      <c r="C3577" s="7">
        <v>43608</v>
      </c>
      <c r="D3577" s="6">
        <v>1</v>
      </c>
      <c r="E3577" s="6">
        <v>2170688090</v>
      </c>
      <c r="F3577" s="6" t="s">
        <v>16</v>
      </c>
      <c r="G3577" s="6" t="s">
        <v>17</v>
      </c>
      <c r="H3577" s="6" t="s">
        <v>32</v>
      </c>
      <c r="I3577" s="6" t="s">
        <v>33</v>
      </c>
      <c r="J3577" s="6" t="s">
        <v>778</v>
      </c>
      <c r="K3577" s="7">
        <v>43609</v>
      </c>
      <c r="L3577" s="8">
        <v>0.3888888888888889</v>
      </c>
      <c r="M3577" s="6" t="s">
        <v>3308</v>
      </c>
      <c r="N3577" s="14" t="s">
        <v>21</v>
      </c>
      <c r="O3577" s="6" t="s">
        <v>22</v>
      </c>
    </row>
    <row r="3578" spans="1:15" hidden="1">
      <c r="A3578" s="6" t="s">
        <v>15</v>
      </c>
      <c r="B3578" s="6" t="str">
        <f>"FES1162691617"</f>
        <v>FES1162691617</v>
      </c>
      <c r="C3578" s="7">
        <v>43608</v>
      </c>
      <c r="D3578" s="6">
        <v>1</v>
      </c>
      <c r="E3578" s="6">
        <v>2170689923</v>
      </c>
      <c r="F3578" s="6" t="s">
        <v>16</v>
      </c>
      <c r="G3578" s="6" t="s">
        <v>17</v>
      </c>
      <c r="H3578" s="6" t="s">
        <v>37</v>
      </c>
      <c r="I3578" s="6" t="s">
        <v>955</v>
      </c>
      <c r="J3578" s="6" t="s">
        <v>956</v>
      </c>
      <c r="K3578" s="7">
        <v>43609</v>
      </c>
      <c r="L3578" s="8">
        <v>0.43402777777777773</v>
      </c>
      <c r="M3578" s="6" t="s">
        <v>4137</v>
      </c>
      <c r="N3578" s="14" t="s">
        <v>21</v>
      </c>
      <c r="O3578" s="6" t="s">
        <v>22</v>
      </c>
    </row>
    <row r="3579" spans="1:15" hidden="1">
      <c r="A3579" s="6" t="s">
        <v>15</v>
      </c>
      <c r="B3579" s="6" t="str">
        <f>"FES1162691720"</f>
        <v>FES1162691720</v>
      </c>
      <c r="C3579" s="7">
        <v>43608</v>
      </c>
      <c r="D3579" s="6">
        <v>1</v>
      </c>
      <c r="E3579" s="6">
        <v>2170689065</v>
      </c>
      <c r="F3579" s="6" t="s">
        <v>16</v>
      </c>
      <c r="G3579" s="6" t="s">
        <v>17</v>
      </c>
      <c r="H3579" s="6" t="s">
        <v>43</v>
      </c>
      <c r="I3579" s="6" t="s">
        <v>44</v>
      </c>
      <c r="J3579" s="6" t="s">
        <v>591</v>
      </c>
      <c r="K3579" s="7">
        <v>43609</v>
      </c>
      <c r="L3579" s="8">
        <v>0.32708333333333334</v>
      </c>
      <c r="M3579" s="6" t="s">
        <v>3545</v>
      </c>
      <c r="N3579" s="14" t="s">
        <v>21</v>
      </c>
      <c r="O3579" s="6" t="s">
        <v>22</v>
      </c>
    </row>
    <row r="3580" spans="1:15" hidden="1">
      <c r="A3580" s="6" t="s">
        <v>15</v>
      </c>
      <c r="B3580" s="6" t="str">
        <f>"FES1162691629"</f>
        <v>FES1162691629</v>
      </c>
      <c r="C3580" s="7">
        <v>43608</v>
      </c>
      <c r="D3580" s="6">
        <v>1</v>
      </c>
      <c r="E3580" s="6">
        <v>2170689936</v>
      </c>
      <c r="F3580" s="6" t="s">
        <v>16</v>
      </c>
      <c r="G3580" s="6" t="s">
        <v>17</v>
      </c>
      <c r="H3580" s="6" t="s">
        <v>37</v>
      </c>
      <c r="I3580" s="6" t="s">
        <v>38</v>
      </c>
      <c r="J3580" s="6" t="s">
        <v>1027</v>
      </c>
      <c r="K3580" s="7">
        <v>43609</v>
      </c>
      <c r="L3580" s="8">
        <v>0.37638888888888888</v>
      </c>
      <c r="M3580" s="6" t="s">
        <v>4139</v>
      </c>
      <c r="N3580" s="14" t="s">
        <v>21</v>
      </c>
      <c r="O3580" s="6" t="s">
        <v>22</v>
      </c>
    </row>
    <row r="3581" spans="1:15" hidden="1">
      <c r="A3581" s="6" t="s">
        <v>15</v>
      </c>
      <c r="B3581" s="6" t="str">
        <f>"FES1162691666"</f>
        <v>FES1162691666</v>
      </c>
      <c r="C3581" s="7">
        <v>43608</v>
      </c>
      <c r="D3581" s="6">
        <v>1</v>
      </c>
      <c r="E3581" s="6">
        <v>2170689971</v>
      </c>
      <c r="F3581" s="6" t="s">
        <v>16</v>
      </c>
      <c r="G3581" s="6" t="s">
        <v>17</v>
      </c>
      <c r="H3581" s="6" t="s">
        <v>37</v>
      </c>
      <c r="I3581" s="6" t="s">
        <v>38</v>
      </c>
      <c r="J3581" s="6" t="s">
        <v>766</v>
      </c>
      <c r="K3581" s="7">
        <v>43609</v>
      </c>
      <c r="L3581" s="8">
        <v>0.36041666666666666</v>
      </c>
      <c r="M3581" s="6" t="s">
        <v>1247</v>
      </c>
      <c r="N3581" s="14" t="s">
        <v>21</v>
      </c>
      <c r="O3581" s="6" t="s">
        <v>22</v>
      </c>
    </row>
    <row r="3582" spans="1:15" hidden="1">
      <c r="A3582" s="6" t="s">
        <v>15</v>
      </c>
      <c r="B3582" s="6" t="str">
        <f>"FES1162691492"</f>
        <v>FES1162691492</v>
      </c>
      <c r="C3582" s="7">
        <v>43608</v>
      </c>
      <c r="D3582" s="6">
        <v>1</v>
      </c>
      <c r="E3582" s="6">
        <v>2170689856</v>
      </c>
      <c r="F3582" s="6" t="s">
        <v>16</v>
      </c>
      <c r="G3582" s="6" t="s">
        <v>17</v>
      </c>
      <c r="H3582" s="6" t="s">
        <v>132</v>
      </c>
      <c r="I3582" s="6" t="s">
        <v>1066</v>
      </c>
      <c r="J3582" s="6" t="s">
        <v>1067</v>
      </c>
      <c r="K3582" s="7">
        <v>43609</v>
      </c>
      <c r="L3582" s="8">
        <v>0.56597222222222221</v>
      </c>
      <c r="M3582" s="6" t="s">
        <v>1068</v>
      </c>
      <c r="N3582" s="14" t="s">
        <v>21</v>
      </c>
      <c r="O3582" s="6" t="s">
        <v>22</v>
      </c>
    </row>
    <row r="3583" spans="1:15">
      <c r="A3583" s="6" t="s">
        <v>15</v>
      </c>
      <c r="B3583" s="6" t="str">
        <f>"FES1162691702"</f>
        <v>FES1162691702</v>
      </c>
      <c r="C3583" s="7">
        <v>43608</v>
      </c>
      <c r="D3583" s="6">
        <v>1</v>
      </c>
      <c r="E3583" s="6">
        <v>2170690016</v>
      </c>
      <c r="F3583" s="6" t="s">
        <v>16</v>
      </c>
      <c r="G3583" s="6" t="s">
        <v>17</v>
      </c>
      <c r="H3583" s="6" t="s">
        <v>17</v>
      </c>
      <c r="I3583" s="6" t="s">
        <v>23</v>
      </c>
      <c r="J3583" s="6" t="s">
        <v>119</v>
      </c>
      <c r="K3583" s="7">
        <v>43609</v>
      </c>
      <c r="L3583" s="8">
        <v>0.29166666666666669</v>
      </c>
      <c r="M3583" s="6" t="s">
        <v>1473</v>
      </c>
      <c r="N3583" s="14" t="s">
        <v>21</v>
      </c>
      <c r="O3583" s="6" t="s">
        <v>22</v>
      </c>
    </row>
    <row r="3584" spans="1:15" hidden="1">
      <c r="A3584" s="6" t="s">
        <v>15</v>
      </c>
      <c r="B3584" s="6" t="str">
        <f>"FES1162691638"</f>
        <v>FES1162691638</v>
      </c>
      <c r="C3584" s="7">
        <v>43608</v>
      </c>
      <c r="D3584" s="6">
        <v>1</v>
      </c>
      <c r="E3584" s="6">
        <v>2170689653</v>
      </c>
      <c r="F3584" s="6" t="s">
        <v>16</v>
      </c>
      <c r="G3584" s="6" t="s">
        <v>17</v>
      </c>
      <c r="H3584" s="6" t="s">
        <v>32</v>
      </c>
      <c r="I3584" s="6" t="s">
        <v>33</v>
      </c>
      <c r="J3584" s="6" t="s">
        <v>790</v>
      </c>
      <c r="K3584" s="7">
        <v>43609</v>
      </c>
      <c r="L3584" s="8">
        <v>0.40972222222222227</v>
      </c>
      <c r="M3584" s="6" t="s">
        <v>791</v>
      </c>
      <c r="N3584" s="14" t="s">
        <v>21</v>
      </c>
      <c r="O3584" s="6" t="s">
        <v>22</v>
      </c>
    </row>
    <row r="3585" spans="1:15">
      <c r="A3585" s="6" t="s">
        <v>15</v>
      </c>
      <c r="B3585" s="6" t="str">
        <f>"FES1162691712"</f>
        <v>FES1162691712</v>
      </c>
      <c r="C3585" s="7">
        <v>43608</v>
      </c>
      <c r="D3585" s="6">
        <v>1</v>
      </c>
      <c r="E3585" s="6">
        <v>2170690028</v>
      </c>
      <c r="F3585" s="6" t="s">
        <v>16</v>
      </c>
      <c r="G3585" s="6" t="s">
        <v>17</v>
      </c>
      <c r="H3585" s="6" t="s">
        <v>17</v>
      </c>
      <c r="I3585" s="6" t="s">
        <v>148</v>
      </c>
      <c r="J3585" s="6" t="s">
        <v>153</v>
      </c>
      <c r="K3585" s="7">
        <v>43609</v>
      </c>
      <c r="L3585" s="8">
        <v>0.43402777777777773</v>
      </c>
      <c r="M3585" s="6" t="s">
        <v>712</v>
      </c>
      <c r="N3585" s="14" t="s">
        <v>21</v>
      </c>
      <c r="O3585" s="6" t="s">
        <v>22</v>
      </c>
    </row>
    <row r="3586" spans="1:15" hidden="1">
      <c r="A3586" s="6" t="s">
        <v>15</v>
      </c>
      <c r="B3586" s="6" t="str">
        <f>"FES1162691485"</f>
        <v>FES1162691485</v>
      </c>
      <c r="C3586" s="7">
        <v>43608</v>
      </c>
      <c r="D3586" s="6">
        <v>1</v>
      </c>
      <c r="E3586" s="6">
        <v>2170689848</v>
      </c>
      <c r="F3586" s="6" t="s">
        <v>16</v>
      </c>
      <c r="G3586" s="6" t="s">
        <v>17</v>
      </c>
      <c r="H3586" s="6" t="s">
        <v>440</v>
      </c>
      <c r="I3586" s="6" t="s">
        <v>1546</v>
      </c>
      <c r="J3586" s="6" t="s">
        <v>1547</v>
      </c>
      <c r="K3586" s="7">
        <v>43609</v>
      </c>
      <c r="L3586" s="8">
        <v>0.375</v>
      </c>
      <c r="M3586" s="6" t="s">
        <v>2751</v>
      </c>
      <c r="N3586" s="14" t="s">
        <v>21</v>
      </c>
      <c r="O3586" s="6" t="s">
        <v>22</v>
      </c>
    </row>
    <row r="3587" spans="1:15">
      <c r="A3587" s="6" t="s">
        <v>15</v>
      </c>
      <c r="B3587" s="6" t="str">
        <f>"FES1162691668"</f>
        <v>FES1162691668</v>
      </c>
      <c r="C3587" s="7">
        <v>43608</v>
      </c>
      <c r="D3587" s="6">
        <v>1</v>
      </c>
      <c r="E3587" s="6">
        <v>2170389974</v>
      </c>
      <c r="F3587" s="6" t="s">
        <v>16</v>
      </c>
      <c r="G3587" s="6" t="s">
        <v>17</v>
      </c>
      <c r="H3587" s="6" t="s">
        <v>17</v>
      </c>
      <c r="I3587" s="6" t="s">
        <v>23</v>
      </c>
      <c r="J3587" s="6" t="s">
        <v>119</v>
      </c>
      <c r="K3587" s="7">
        <v>43609</v>
      </c>
      <c r="L3587" s="8">
        <v>0.29166666666666669</v>
      </c>
      <c r="M3587" s="6" t="s">
        <v>1473</v>
      </c>
      <c r="N3587" s="14" t="s">
        <v>21</v>
      </c>
      <c r="O3587" s="6" t="s">
        <v>22</v>
      </c>
    </row>
    <row r="3588" spans="1:15" hidden="1">
      <c r="A3588" s="6" t="s">
        <v>15</v>
      </c>
      <c r="B3588" s="6" t="str">
        <f>"FES1162691677"</f>
        <v>FES1162691677</v>
      </c>
      <c r="C3588" s="7">
        <v>43608</v>
      </c>
      <c r="D3588" s="6">
        <v>1</v>
      </c>
      <c r="E3588" s="6">
        <v>21706899990</v>
      </c>
      <c r="F3588" s="6" t="s">
        <v>16</v>
      </c>
      <c r="G3588" s="6" t="s">
        <v>17</v>
      </c>
      <c r="H3588" s="6" t="s">
        <v>141</v>
      </c>
      <c r="I3588" s="6" t="s">
        <v>142</v>
      </c>
      <c r="J3588" s="6" t="s">
        <v>880</v>
      </c>
      <c r="K3588" s="7">
        <v>43609</v>
      </c>
      <c r="L3588" s="8">
        <v>0.39861111111111108</v>
      </c>
      <c r="M3588" s="6" t="s">
        <v>4144</v>
      </c>
      <c r="N3588" s="14" t="s">
        <v>21</v>
      </c>
      <c r="O3588" s="6" t="s">
        <v>22</v>
      </c>
    </row>
    <row r="3589" spans="1:15" hidden="1">
      <c r="A3589" s="6" t="s">
        <v>15</v>
      </c>
      <c r="B3589" s="6" t="str">
        <f>"FES1162691662"</f>
        <v>FES1162691662</v>
      </c>
      <c r="C3589" s="7">
        <v>43608</v>
      </c>
      <c r="D3589" s="6">
        <v>1</v>
      </c>
      <c r="E3589" s="6">
        <v>2170689966</v>
      </c>
      <c r="F3589" s="6" t="s">
        <v>16</v>
      </c>
      <c r="G3589" s="6" t="s">
        <v>17</v>
      </c>
      <c r="H3589" s="6" t="s">
        <v>290</v>
      </c>
      <c r="I3589" s="6" t="s">
        <v>291</v>
      </c>
      <c r="J3589" s="6" t="s">
        <v>1187</v>
      </c>
      <c r="K3589" s="7">
        <v>43609</v>
      </c>
      <c r="L3589" s="8">
        <v>0.40625</v>
      </c>
      <c r="M3589" s="6" t="s">
        <v>2560</v>
      </c>
      <c r="N3589" s="14" t="s">
        <v>21</v>
      </c>
      <c r="O3589" s="6" t="s">
        <v>22</v>
      </c>
    </row>
    <row r="3590" spans="1:15" hidden="1">
      <c r="A3590" s="6" t="s">
        <v>15</v>
      </c>
      <c r="B3590" s="6" t="str">
        <f>"FES1162691691"</f>
        <v>FES1162691691</v>
      </c>
      <c r="C3590" s="7">
        <v>43608</v>
      </c>
      <c r="D3590" s="6">
        <v>1</v>
      </c>
      <c r="E3590" s="6">
        <v>2170690004</v>
      </c>
      <c r="F3590" s="6" t="s">
        <v>16</v>
      </c>
      <c r="G3590" s="6" t="s">
        <v>17</v>
      </c>
      <c r="H3590" s="6" t="s">
        <v>290</v>
      </c>
      <c r="I3590" s="6" t="s">
        <v>291</v>
      </c>
      <c r="J3590" s="6" t="s">
        <v>1744</v>
      </c>
      <c r="K3590" s="7">
        <v>43609</v>
      </c>
      <c r="L3590" s="8">
        <v>0.35416666666666669</v>
      </c>
      <c r="M3590" s="6" t="s">
        <v>2556</v>
      </c>
      <c r="N3590" s="14" t="s">
        <v>21</v>
      </c>
      <c r="O3590" s="6" t="s">
        <v>22</v>
      </c>
    </row>
    <row r="3591" spans="1:15" hidden="1">
      <c r="A3591" s="6" t="s">
        <v>15</v>
      </c>
      <c r="B3591" s="6" t="str">
        <f>"FES1162691694"</f>
        <v>FES1162691694</v>
      </c>
      <c r="C3591" s="7">
        <v>43608</v>
      </c>
      <c r="D3591" s="6">
        <v>1</v>
      </c>
      <c r="E3591" s="6">
        <v>2170690009</v>
      </c>
      <c r="F3591" s="6" t="s">
        <v>16</v>
      </c>
      <c r="G3591" s="6" t="s">
        <v>17</v>
      </c>
      <c r="H3591" s="6" t="s">
        <v>141</v>
      </c>
      <c r="I3591" s="6" t="s">
        <v>142</v>
      </c>
      <c r="J3591" s="6" t="s">
        <v>213</v>
      </c>
      <c r="K3591" s="7">
        <v>43609</v>
      </c>
      <c r="L3591" s="8">
        <v>0.33749999999999997</v>
      </c>
      <c r="M3591" s="6" t="s">
        <v>214</v>
      </c>
      <c r="N3591" s="14" t="s">
        <v>21</v>
      </c>
      <c r="O3591" s="6" t="s">
        <v>22</v>
      </c>
    </row>
    <row r="3592" spans="1:15" hidden="1">
      <c r="A3592" s="6" t="s">
        <v>15</v>
      </c>
      <c r="B3592" s="6" t="str">
        <f>"FES1162691576"</f>
        <v>FES1162691576</v>
      </c>
      <c r="C3592" s="7">
        <v>43608</v>
      </c>
      <c r="D3592" s="6">
        <v>1</v>
      </c>
      <c r="E3592" s="6">
        <v>2170688354</v>
      </c>
      <c r="F3592" s="6" t="s">
        <v>16</v>
      </c>
      <c r="G3592" s="6" t="s">
        <v>17</v>
      </c>
      <c r="H3592" s="6" t="s">
        <v>141</v>
      </c>
      <c r="I3592" s="6" t="s">
        <v>448</v>
      </c>
      <c r="J3592" s="6" t="s">
        <v>449</v>
      </c>
      <c r="K3592" s="7">
        <v>43609</v>
      </c>
      <c r="L3592" s="8">
        <v>0.34652777777777777</v>
      </c>
      <c r="M3592" s="6" t="s">
        <v>4047</v>
      </c>
      <c r="N3592" s="14" t="s">
        <v>21</v>
      </c>
      <c r="O3592" s="6" t="s">
        <v>22</v>
      </c>
    </row>
    <row r="3593" spans="1:15" hidden="1">
      <c r="A3593" s="6" t="s">
        <v>15</v>
      </c>
      <c r="B3593" s="6" t="str">
        <f>"FES1162691577"</f>
        <v>FES1162691577</v>
      </c>
      <c r="C3593" s="7">
        <v>43608</v>
      </c>
      <c r="D3593" s="6">
        <v>1</v>
      </c>
      <c r="E3593" s="6">
        <v>2170688356</v>
      </c>
      <c r="F3593" s="6" t="s">
        <v>16</v>
      </c>
      <c r="G3593" s="6" t="s">
        <v>17</v>
      </c>
      <c r="H3593" s="6" t="s">
        <v>141</v>
      </c>
      <c r="I3593" s="6" t="s">
        <v>142</v>
      </c>
      <c r="J3593" s="6" t="s">
        <v>917</v>
      </c>
      <c r="K3593" s="7">
        <v>43609</v>
      </c>
      <c r="L3593" s="8">
        <v>0.31111111111111112</v>
      </c>
      <c r="M3593" s="6" t="s">
        <v>3915</v>
      </c>
      <c r="N3593" s="14" t="s">
        <v>21</v>
      </c>
      <c r="O3593" s="6" t="s">
        <v>22</v>
      </c>
    </row>
    <row r="3594" spans="1:15">
      <c r="A3594" s="6" t="s">
        <v>15</v>
      </c>
      <c r="B3594" s="6" t="str">
        <f>"FES1162691692"</f>
        <v>FES1162691692</v>
      </c>
      <c r="C3594" s="7">
        <v>43608</v>
      </c>
      <c r="D3594" s="6">
        <v>1</v>
      </c>
      <c r="E3594" s="6">
        <v>2170690005</v>
      </c>
      <c r="F3594" s="6" t="s">
        <v>16</v>
      </c>
      <c r="G3594" s="6" t="s">
        <v>17</v>
      </c>
      <c r="H3594" s="6" t="s">
        <v>17</v>
      </c>
      <c r="I3594" s="6" t="s">
        <v>103</v>
      </c>
      <c r="J3594" s="6" t="s">
        <v>4326</v>
      </c>
      <c r="K3594" s="7">
        <v>43609</v>
      </c>
      <c r="L3594" s="8">
        <v>0.33333333333333331</v>
      </c>
      <c r="M3594" s="6" t="s">
        <v>4327</v>
      </c>
      <c r="N3594" s="14" t="s">
        <v>21</v>
      </c>
      <c r="O3594" s="6" t="s">
        <v>22</v>
      </c>
    </row>
    <row r="3595" spans="1:15" hidden="1">
      <c r="A3595" s="6" t="s">
        <v>15</v>
      </c>
      <c r="B3595" s="6" t="str">
        <f>"FES1162691567"</f>
        <v>FES1162691567</v>
      </c>
      <c r="C3595" s="7">
        <v>43608</v>
      </c>
      <c r="D3595" s="6">
        <v>1</v>
      </c>
      <c r="E3595" s="6">
        <v>2170688278</v>
      </c>
      <c r="F3595" s="6" t="s">
        <v>1433</v>
      </c>
      <c r="G3595" s="6" t="s">
        <v>59</v>
      </c>
      <c r="H3595" s="6" t="s">
        <v>300</v>
      </c>
      <c r="I3595" s="6" t="s">
        <v>1553</v>
      </c>
      <c r="J3595" s="6" t="s">
        <v>2822</v>
      </c>
      <c r="K3595" s="7">
        <v>43609</v>
      </c>
      <c r="L3595" s="8">
        <v>0.41597222222222219</v>
      </c>
      <c r="M3595" s="6" t="s">
        <v>2823</v>
      </c>
      <c r="N3595" s="14" t="s">
        <v>21</v>
      </c>
      <c r="O3595" s="6" t="s">
        <v>22</v>
      </c>
    </row>
    <row r="3596" spans="1:15" hidden="1">
      <c r="A3596" s="6" t="s">
        <v>15</v>
      </c>
      <c r="B3596" s="6" t="str">
        <f>"FES1162691537"</f>
        <v>FES1162691537</v>
      </c>
      <c r="C3596" s="7">
        <v>43608</v>
      </c>
      <c r="D3596" s="6">
        <v>1</v>
      </c>
      <c r="E3596" s="6">
        <v>2170688031</v>
      </c>
      <c r="F3596" s="6" t="s">
        <v>16</v>
      </c>
      <c r="G3596" s="6" t="s">
        <v>17</v>
      </c>
      <c r="H3596" s="6" t="s">
        <v>141</v>
      </c>
      <c r="I3596" s="6" t="s">
        <v>448</v>
      </c>
      <c r="J3596" s="6" t="s">
        <v>449</v>
      </c>
      <c r="K3596" s="7">
        <v>43609</v>
      </c>
      <c r="L3596" s="8">
        <v>0.34652777777777777</v>
      </c>
      <c r="M3596" s="6" t="s">
        <v>4047</v>
      </c>
      <c r="N3596" s="14" t="s">
        <v>21</v>
      </c>
      <c r="O3596" s="6" t="s">
        <v>22</v>
      </c>
    </row>
    <row r="3597" spans="1:15" hidden="1">
      <c r="A3597" s="6" t="s">
        <v>15</v>
      </c>
      <c r="B3597" s="6" t="str">
        <f>"FES1162691634"</f>
        <v>FES1162691634</v>
      </c>
      <c r="C3597" s="7">
        <v>43608</v>
      </c>
      <c r="D3597" s="6">
        <v>1</v>
      </c>
      <c r="E3597" s="6">
        <v>2170689355</v>
      </c>
      <c r="F3597" s="6" t="s">
        <v>16</v>
      </c>
      <c r="G3597" s="6" t="s">
        <v>17</v>
      </c>
      <c r="H3597" s="6" t="s">
        <v>32</v>
      </c>
      <c r="I3597" s="6" t="s">
        <v>269</v>
      </c>
      <c r="J3597" s="6" t="s">
        <v>683</v>
      </c>
      <c r="K3597" s="7">
        <v>43609</v>
      </c>
      <c r="L3597" s="8">
        <v>0.34722222222222227</v>
      </c>
      <c r="M3597" s="6" t="s">
        <v>931</v>
      </c>
      <c r="N3597" s="14" t="s">
        <v>21</v>
      </c>
      <c r="O3597" s="6" t="s">
        <v>22</v>
      </c>
    </row>
    <row r="3598" spans="1:15">
      <c r="A3598" s="6" t="s">
        <v>15</v>
      </c>
      <c r="B3598" s="6" t="str">
        <f>"FES1162691535"</f>
        <v>FES1162691535</v>
      </c>
      <c r="C3598" s="7">
        <v>43608</v>
      </c>
      <c r="D3598" s="6">
        <v>1</v>
      </c>
      <c r="E3598" s="6">
        <v>2170688024</v>
      </c>
      <c r="F3598" s="6" t="s">
        <v>16</v>
      </c>
      <c r="G3598" s="6" t="s">
        <v>17</v>
      </c>
      <c r="H3598" s="6" t="s">
        <v>17</v>
      </c>
      <c r="I3598" s="6" t="s">
        <v>64</v>
      </c>
      <c r="J3598" s="6" t="s">
        <v>1742</v>
      </c>
      <c r="K3598" s="7">
        <v>43609</v>
      </c>
      <c r="L3598" s="8">
        <v>0.3888888888888889</v>
      </c>
      <c r="M3598" s="6" t="s">
        <v>4328</v>
      </c>
      <c r="N3598" s="14" t="s">
        <v>21</v>
      </c>
      <c r="O3598" s="6" t="s">
        <v>22</v>
      </c>
    </row>
    <row r="3599" spans="1:15" hidden="1">
      <c r="A3599" s="6" t="s">
        <v>15</v>
      </c>
      <c r="B3599" s="6" t="str">
        <f>"FES1162691722"</f>
        <v>FES1162691722</v>
      </c>
      <c r="C3599" s="7">
        <v>43608</v>
      </c>
      <c r="D3599" s="6">
        <v>1</v>
      </c>
      <c r="E3599" s="6">
        <v>2170689065</v>
      </c>
      <c r="F3599" s="6" t="s">
        <v>16</v>
      </c>
      <c r="G3599" s="6" t="s">
        <v>17</v>
      </c>
      <c r="H3599" s="6" t="s">
        <v>43</v>
      </c>
      <c r="I3599" s="6" t="s">
        <v>44</v>
      </c>
      <c r="J3599" s="6" t="s">
        <v>591</v>
      </c>
      <c r="K3599" s="7">
        <v>43609</v>
      </c>
      <c r="L3599" s="8">
        <v>0.32708333333333334</v>
      </c>
      <c r="M3599" s="6" t="s">
        <v>3545</v>
      </c>
      <c r="N3599" s="14" t="s">
        <v>21</v>
      </c>
      <c r="O3599" s="6" t="s">
        <v>22</v>
      </c>
    </row>
    <row r="3600" spans="1:15" hidden="1">
      <c r="A3600" s="6" t="s">
        <v>15</v>
      </c>
      <c r="B3600" s="6" t="str">
        <f>"FES1162691655"</f>
        <v>FES1162691655</v>
      </c>
      <c r="C3600" s="7">
        <v>43608</v>
      </c>
      <c r="D3600" s="6">
        <v>1</v>
      </c>
      <c r="E3600" s="6">
        <v>2170689961</v>
      </c>
      <c r="F3600" s="6" t="s">
        <v>16</v>
      </c>
      <c r="G3600" s="6" t="s">
        <v>17</v>
      </c>
      <c r="H3600" s="6" t="s">
        <v>141</v>
      </c>
      <c r="I3600" s="6" t="s">
        <v>142</v>
      </c>
      <c r="J3600" s="6" t="s">
        <v>4154</v>
      </c>
      <c r="K3600" s="7">
        <v>43609</v>
      </c>
      <c r="L3600" s="8">
        <v>0.32708333333333334</v>
      </c>
      <c r="M3600" s="6" t="s">
        <v>4155</v>
      </c>
      <c r="N3600" s="14" t="s">
        <v>21</v>
      </c>
      <c r="O3600" s="6" t="s">
        <v>22</v>
      </c>
    </row>
    <row r="3601" spans="1:15" hidden="1">
      <c r="A3601" s="6" t="s">
        <v>15</v>
      </c>
      <c r="B3601" s="6" t="str">
        <f>"FES1162691650"</f>
        <v>FES1162691650</v>
      </c>
      <c r="C3601" s="7">
        <v>43608</v>
      </c>
      <c r="D3601" s="6">
        <v>1</v>
      </c>
      <c r="E3601" s="6">
        <v>2170689954</v>
      </c>
      <c r="F3601" s="6" t="s">
        <v>16</v>
      </c>
      <c r="G3601" s="6" t="s">
        <v>17</v>
      </c>
      <c r="H3601" s="6" t="s">
        <v>132</v>
      </c>
      <c r="I3601" s="6" t="s">
        <v>133</v>
      </c>
      <c r="J3601" s="6" t="s">
        <v>238</v>
      </c>
      <c r="K3601" s="7">
        <v>43609</v>
      </c>
      <c r="L3601" s="8">
        <v>0.34722222222222227</v>
      </c>
      <c r="M3601" s="6" t="s">
        <v>4157</v>
      </c>
      <c r="N3601" s="14" t="s">
        <v>21</v>
      </c>
      <c r="O3601" s="6" t="s">
        <v>22</v>
      </c>
    </row>
    <row r="3602" spans="1:15" hidden="1">
      <c r="A3602" s="6" t="s">
        <v>15</v>
      </c>
      <c r="B3602" s="6" t="str">
        <f>"FES1162691713"</f>
        <v>FES1162691713</v>
      </c>
      <c r="C3602" s="7">
        <v>43608</v>
      </c>
      <c r="D3602" s="6">
        <v>1</v>
      </c>
      <c r="E3602" s="6">
        <v>21706890029</v>
      </c>
      <c r="F3602" s="6" t="s">
        <v>16</v>
      </c>
      <c r="G3602" s="6" t="s">
        <v>17</v>
      </c>
      <c r="H3602" s="6" t="s">
        <v>132</v>
      </c>
      <c r="I3602" s="6" t="s">
        <v>133</v>
      </c>
      <c r="J3602" s="6" t="s">
        <v>437</v>
      </c>
      <c r="K3602" s="7">
        <v>43609</v>
      </c>
      <c r="L3602" s="8">
        <v>0.42777777777777781</v>
      </c>
      <c r="M3602" s="6" t="s">
        <v>438</v>
      </c>
      <c r="N3602" s="14" t="s">
        <v>21</v>
      </c>
      <c r="O3602" s="6" t="s">
        <v>22</v>
      </c>
    </row>
    <row r="3603" spans="1:15" hidden="1">
      <c r="A3603" s="6" t="s">
        <v>15</v>
      </c>
      <c r="B3603" s="6" t="str">
        <f>"FES1162691665"</f>
        <v>FES1162691665</v>
      </c>
      <c r="C3603" s="7">
        <v>43608</v>
      </c>
      <c r="D3603" s="6">
        <v>1</v>
      </c>
      <c r="E3603" s="6">
        <v>2170689969</v>
      </c>
      <c r="F3603" s="6" t="s">
        <v>16</v>
      </c>
      <c r="G3603" s="6" t="s">
        <v>17</v>
      </c>
      <c r="H3603" s="6" t="s">
        <v>290</v>
      </c>
      <c r="I3603" s="6" t="s">
        <v>291</v>
      </c>
      <c r="J3603" s="6" t="s">
        <v>4159</v>
      </c>
      <c r="K3603" s="7">
        <v>43609</v>
      </c>
      <c r="L3603" s="8">
        <v>0.40972222222222227</v>
      </c>
      <c r="M3603" s="6" t="s">
        <v>28</v>
      </c>
      <c r="N3603" s="14" t="s">
        <v>21</v>
      </c>
      <c r="O3603" s="6" t="s">
        <v>22</v>
      </c>
    </row>
    <row r="3604" spans="1:15" hidden="1">
      <c r="A3604" s="6" t="s">
        <v>15</v>
      </c>
      <c r="B3604" s="6" t="str">
        <f>"FES1162691601"</f>
        <v>FES1162691601</v>
      </c>
      <c r="C3604" s="7">
        <v>43608</v>
      </c>
      <c r="D3604" s="6">
        <v>1</v>
      </c>
      <c r="E3604" s="6">
        <v>2170689905</v>
      </c>
      <c r="F3604" s="6" t="s">
        <v>16</v>
      </c>
      <c r="G3604" s="6" t="s">
        <v>17</v>
      </c>
      <c r="H3604" s="6" t="s">
        <v>132</v>
      </c>
      <c r="I3604" s="6" t="s">
        <v>133</v>
      </c>
      <c r="J3604" s="6" t="s">
        <v>1008</v>
      </c>
      <c r="K3604" s="7">
        <v>43609</v>
      </c>
      <c r="L3604" s="8">
        <v>0.38541666666666669</v>
      </c>
      <c r="M3604" s="6" t="s">
        <v>3130</v>
      </c>
      <c r="N3604" s="14" t="s">
        <v>21</v>
      </c>
      <c r="O3604" s="6" t="s">
        <v>22</v>
      </c>
    </row>
    <row r="3605" spans="1:15">
      <c r="A3605" s="6" t="s">
        <v>15</v>
      </c>
      <c r="B3605" s="6" t="str">
        <f>"FES1162691682"</f>
        <v>FES1162691682</v>
      </c>
      <c r="C3605" s="7">
        <v>43608</v>
      </c>
      <c r="D3605" s="6">
        <v>1</v>
      </c>
      <c r="E3605" s="6">
        <v>21706899995</v>
      </c>
      <c r="F3605" s="6" t="s">
        <v>16</v>
      </c>
      <c r="G3605" s="6" t="s">
        <v>17</v>
      </c>
      <c r="H3605" s="6" t="s">
        <v>17</v>
      </c>
      <c r="I3605" s="6" t="s">
        <v>18</v>
      </c>
      <c r="J3605" s="6" t="s">
        <v>1368</v>
      </c>
      <c r="K3605" s="7">
        <v>43609</v>
      </c>
      <c r="L3605" s="8">
        <v>0.34027777777777773</v>
      </c>
      <c r="M3605" s="6" t="s">
        <v>4329</v>
      </c>
      <c r="N3605" s="14" t="s">
        <v>21</v>
      </c>
      <c r="O3605" s="6" t="s">
        <v>22</v>
      </c>
    </row>
    <row r="3606" spans="1:15" hidden="1">
      <c r="A3606" s="6" t="s">
        <v>15</v>
      </c>
      <c r="B3606" s="6" t="str">
        <f>"FES1162691623"</f>
        <v>FES1162691623</v>
      </c>
      <c r="C3606" s="7">
        <v>43608</v>
      </c>
      <c r="D3606" s="6">
        <v>1</v>
      </c>
      <c r="E3606" s="6">
        <v>2170689931</v>
      </c>
      <c r="F3606" s="6" t="s">
        <v>16</v>
      </c>
      <c r="G3606" s="6" t="s">
        <v>17</v>
      </c>
      <c r="H3606" s="6" t="s">
        <v>141</v>
      </c>
      <c r="I3606" s="6" t="s">
        <v>185</v>
      </c>
      <c r="J3606" s="6" t="s">
        <v>1011</v>
      </c>
      <c r="K3606" s="7">
        <v>43609</v>
      </c>
      <c r="L3606" s="8">
        <v>0.31736111111111115</v>
      </c>
      <c r="M3606" s="6" t="s">
        <v>1012</v>
      </c>
      <c r="N3606" s="14" t="s">
        <v>21</v>
      </c>
      <c r="O3606" s="6" t="s">
        <v>22</v>
      </c>
    </row>
    <row r="3607" spans="1:15" hidden="1">
      <c r="A3607" s="6" t="s">
        <v>15</v>
      </c>
      <c r="B3607" s="6" t="str">
        <f>"FES1162691693"</f>
        <v>FES1162691693</v>
      </c>
      <c r="C3607" s="7">
        <v>43608</v>
      </c>
      <c r="D3607" s="6">
        <v>1</v>
      </c>
      <c r="E3607" s="6">
        <v>21706890007</v>
      </c>
      <c r="F3607" s="6" t="s">
        <v>16</v>
      </c>
      <c r="G3607" s="6" t="s">
        <v>17</v>
      </c>
      <c r="H3607" s="6" t="s">
        <v>141</v>
      </c>
      <c r="I3607" s="6" t="s">
        <v>185</v>
      </c>
      <c r="J3607" s="6" t="s">
        <v>1916</v>
      </c>
      <c r="K3607" s="7">
        <v>43609</v>
      </c>
      <c r="L3607" s="8">
        <v>0.37152777777777773</v>
      </c>
      <c r="M3607" s="6" t="s">
        <v>4163</v>
      </c>
      <c r="N3607" s="14" t="s">
        <v>21</v>
      </c>
      <c r="O3607" s="6" t="s">
        <v>22</v>
      </c>
    </row>
    <row r="3608" spans="1:15" hidden="1">
      <c r="A3608" s="6" t="s">
        <v>15</v>
      </c>
      <c r="B3608" s="6" t="str">
        <f>"FES1162691700"</f>
        <v>FES1162691700</v>
      </c>
      <c r="C3608" s="7">
        <v>43608</v>
      </c>
      <c r="D3608" s="6">
        <v>1</v>
      </c>
      <c r="E3608" s="6">
        <v>2170690015</v>
      </c>
      <c r="F3608" s="6" t="s">
        <v>16</v>
      </c>
      <c r="G3608" s="6" t="s">
        <v>17</v>
      </c>
      <c r="H3608" s="6" t="s">
        <v>290</v>
      </c>
      <c r="I3608" s="6" t="s">
        <v>291</v>
      </c>
      <c r="J3608" s="6" t="s">
        <v>4165</v>
      </c>
      <c r="K3608" s="7">
        <v>43609</v>
      </c>
      <c r="L3608" s="8">
        <v>0.37361111111111112</v>
      </c>
      <c r="M3608" s="6" t="s">
        <v>4166</v>
      </c>
      <c r="N3608" s="14" t="s">
        <v>21</v>
      </c>
      <c r="O3608" s="6" t="s">
        <v>22</v>
      </c>
    </row>
    <row r="3609" spans="1:15" hidden="1">
      <c r="A3609" s="6" t="s">
        <v>15</v>
      </c>
      <c r="B3609" s="6" t="str">
        <f>"FES1162691593"</f>
        <v>FES1162691593</v>
      </c>
      <c r="C3609" s="7">
        <v>43608</v>
      </c>
      <c r="D3609" s="6">
        <v>1</v>
      </c>
      <c r="E3609" s="6">
        <v>21706889896</v>
      </c>
      <c r="F3609" s="6" t="s">
        <v>16</v>
      </c>
      <c r="G3609" s="6" t="s">
        <v>17</v>
      </c>
      <c r="H3609" s="6" t="s">
        <v>141</v>
      </c>
      <c r="I3609" s="6" t="s">
        <v>142</v>
      </c>
      <c r="J3609" s="6" t="s">
        <v>864</v>
      </c>
      <c r="K3609" s="7">
        <v>43609</v>
      </c>
      <c r="L3609" s="8">
        <v>0.36805555555555558</v>
      </c>
      <c r="M3609" s="6" t="s">
        <v>2254</v>
      </c>
      <c r="N3609" s="14" t="s">
        <v>21</v>
      </c>
      <c r="O3609" s="6" t="s">
        <v>22</v>
      </c>
    </row>
    <row r="3610" spans="1:15" hidden="1">
      <c r="A3610" s="6" t="s">
        <v>15</v>
      </c>
      <c r="B3610" s="6" t="str">
        <f>"FES1162691696"</f>
        <v>FES1162691696</v>
      </c>
      <c r="C3610" s="7">
        <v>43608</v>
      </c>
      <c r="D3610" s="6">
        <v>1</v>
      </c>
      <c r="E3610" s="6">
        <v>2170689852</v>
      </c>
      <c r="F3610" s="6" t="s">
        <v>16</v>
      </c>
      <c r="G3610" s="6" t="s">
        <v>17</v>
      </c>
      <c r="H3610" s="6" t="s">
        <v>132</v>
      </c>
      <c r="I3610" s="6" t="s">
        <v>133</v>
      </c>
      <c r="J3610" s="6" t="s">
        <v>189</v>
      </c>
      <c r="K3610" s="7">
        <v>43609</v>
      </c>
      <c r="L3610" s="8">
        <v>0.43472222222222223</v>
      </c>
      <c r="M3610" s="6" t="s">
        <v>190</v>
      </c>
      <c r="N3610" s="14" t="s">
        <v>21</v>
      </c>
      <c r="O3610" s="6" t="s">
        <v>22</v>
      </c>
    </row>
    <row r="3611" spans="1:15" hidden="1">
      <c r="A3611" s="6" t="s">
        <v>15</v>
      </c>
      <c r="B3611" s="6" t="str">
        <f>"FES1162691721"</f>
        <v>FES1162691721</v>
      </c>
      <c r="C3611" s="7">
        <v>43608</v>
      </c>
      <c r="D3611" s="6">
        <v>1</v>
      </c>
      <c r="E3611" s="6">
        <v>2170690041</v>
      </c>
      <c r="F3611" s="6" t="s">
        <v>16</v>
      </c>
      <c r="G3611" s="6" t="s">
        <v>17</v>
      </c>
      <c r="H3611" s="6" t="s">
        <v>141</v>
      </c>
      <c r="I3611" s="6" t="s">
        <v>458</v>
      </c>
      <c r="J3611" s="6" t="s">
        <v>4168</v>
      </c>
      <c r="K3611" s="7">
        <v>43609</v>
      </c>
      <c r="L3611" s="8">
        <v>0.56805555555555554</v>
      </c>
      <c r="M3611" s="6" t="s">
        <v>4169</v>
      </c>
      <c r="N3611" s="14" t="s">
        <v>21</v>
      </c>
      <c r="O3611" s="6" t="s">
        <v>22</v>
      </c>
    </row>
    <row r="3612" spans="1:15" hidden="1">
      <c r="A3612" s="6" t="s">
        <v>15</v>
      </c>
      <c r="B3612" s="6" t="str">
        <f>"FES1162691711"</f>
        <v>FES1162691711</v>
      </c>
      <c r="C3612" s="7">
        <v>43608</v>
      </c>
      <c r="D3612" s="6">
        <v>1</v>
      </c>
      <c r="E3612" s="6">
        <v>2170690017</v>
      </c>
      <c r="F3612" s="6" t="s">
        <v>58</v>
      </c>
      <c r="G3612" s="6" t="s">
        <v>59</v>
      </c>
      <c r="H3612" s="6" t="s">
        <v>2986</v>
      </c>
      <c r="I3612" s="6" t="s">
        <v>309</v>
      </c>
      <c r="J3612" s="6" t="s">
        <v>331</v>
      </c>
      <c r="K3612" s="7">
        <v>43609</v>
      </c>
      <c r="L3612" s="8">
        <v>0.42708333333333331</v>
      </c>
      <c r="M3612" s="6" t="s">
        <v>332</v>
      </c>
      <c r="N3612" s="14" t="s">
        <v>21</v>
      </c>
      <c r="O3612" s="6" t="s">
        <v>22</v>
      </c>
    </row>
    <row r="3613" spans="1:15" ht="15.75" thickBot="1">
      <c r="A3613" s="11" t="s">
        <v>15</v>
      </c>
      <c r="B3613" s="11" t="str">
        <f>"FES1162691636"</f>
        <v>FES1162691636</v>
      </c>
      <c r="C3613" s="12">
        <v>43608</v>
      </c>
      <c r="D3613" s="11">
        <v>1</v>
      </c>
      <c r="E3613" s="11">
        <v>2170689566</v>
      </c>
      <c r="F3613" s="11" t="s">
        <v>16</v>
      </c>
      <c r="G3613" s="11" t="s">
        <v>17</v>
      </c>
      <c r="H3613" s="11" t="s">
        <v>17</v>
      </c>
      <c r="I3613" s="11" t="s">
        <v>64</v>
      </c>
      <c r="J3613" s="11" t="s">
        <v>1434</v>
      </c>
      <c r="K3613" s="12">
        <v>43609</v>
      </c>
      <c r="L3613" s="13">
        <v>0.34722222222222227</v>
      </c>
      <c r="M3613" s="11" t="s">
        <v>4330</v>
      </c>
      <c r="N3613" s="11" t="s">
        <v>21</v>
      </c>
      <c r="O3613" s="11" t="s">
        <v>22</v>
      </c>
    </row>
    <row r="3614" spans="1:15" ht="15.75" hidden="1" thickBot="1">
      <c r="A3614" s="37" t="s">
        <v>15</v>
      </c>
      <c r="B3614" s="37" t="str">
        <f>"FES1162691864"</f>
        <v>FES1162691864</v>
      </c>
      <c r="C3614" s="38">
        <v>43609</v>
      </c>
      <c r="D3614" s="37">
        <v>1</v>
      </c>
      <c r="E3614" s="37">
        <v>2170690210</v>
      </c>
      <c r="F3614" s="37" t="s">
        <v>16</v>
      </c>
      <c r="G3614" s="37" t="s">
        <v>17</v>
      </c>
      <c r="H3614" s="37" t="s">
        <v>37</v>
      </c>
      <c r="I3614" s="37" t="s">
        <v>38</v>
      </c>
      <c r="J3614" s="37" t="s">
        <v>39</v>
      </c>
      <c r="K3614" s="38">
        <v>43612</v>
      </c>
      <c r="L3614" s="39">
        <v>0.34652777777777777</v>
      </c>
      <c r="M3614" s="37" t="s">
        <v>40</v>
      </c>
      <c r="N3614" s="37" t="s">
        <v>21</v>
      </c>
      <c r="O3614" s="37" t="s">
        <v>22</v>
      </c>
    </row>
    <row r="3615" spans="1:15" hidden="1">
      <c r="A3615" s="3" t="s">
        <v>15</v>
      </c>
      <c r="B3615" s="3" t="str">
        <f>"FES1162691502"</f>
        <v>FES1162691502</v>
      </c>
      <c r="C3615" s="4">
        <v>43609</v>
      </c>
      <c r="D3615" s="3">
        <v>2</v>
      </c>
      <c r="E3615" s="3">
        <v>2170689875</v>
      </c>
      <c r="F3615" s="3" t="s">
        <v>16</v>
      </c>
      <c r="G3615" s="3" t="s">
        <v>17</v>
      </c>
      <c r="H3615" s="3" t="s">
        <v>141</v>
      </c>
      <c r="I3615" s="3" t="s">
        <v>185</v>
      </c>
      <c r="J3615" s="3" t="s">
        <v>473</v>
      </c>
      <c r="K3615" s="4">
        <v>43612</v>
      </c>
      <c r="L3615" s="5">
        <v>0.41666666666666669</v>
      </c>
      <c r="M3615" s="3" t="s">
        <v>4171</v>
      </c>
      <c r="N3615" s="20" t="s">
        <v>21</v>
      </c>
      <c r="O3615" s="3" t="s">
        <v>22</v>
      </c>
    </row>
    <row r="3616" spans="1:15">
      <c r="A3616" s="6" t="s">
        <v>15</v>
      </c>
      <c r="B3616" s="6" t="str">
        <f>"FES1162691758"</f>
        <v>FES1162691758</v>
      </c>
      <c r="C3616" s="7">
        <v>43609</v>
      </c>
      <c r="D3616" s="6">
        <v>1</v>
      </c>
      <c r="E3616" s="6">
        <v>2170690079</v>
      </c>
      <c r="F3616" s="6" t="s">
        <v>16</v>
      </c>
      <c r="G3616" s="6" t="s">
        <v>17</v>
      </c>
      <c r="H3616" s="6" t="s">
        <v>17</v>
      </c>
      <c r="I3616" s="6" t="s">
        <v>564</v>
      </c>
      <c r="J3616" s="6" t="s">
        <v>565</v>
      </c>
      <c r="K3616" s="7">
        <v>43612</v>
      </c>
      <c r="L3616" s="8">
        <v>0.4375</v>
      </c>
      <c r="M3616" s="6" t="s">
        <v>4331</v>
      </c>
      <c r="N3616" s="14" t="s">
        <v>21</v>
      </c>
      <c r="O3616" s="6" t="s">
        <v>22</v>
      </c>
    </row>
    <row r="3617" spans="1:15" hidden="1">
      <c r="A3617" s="6" t="s">
        <v>15</v>
      </c>
      <c r="B3617" s="6" t="str">
        <f>"FES1162691810"</f>
        <v>FES1162691810</v>
      </c>
      <c r="C3617" s="7">
        <v>43609</v>
      </c>
      <c r="D3617" s="6">
        <v>1</v>
      </c>
      <c r="E3617" s="6">
        <v>2170688907</v>
      </c>
      <c r="F3617" s="6" t="s">
        <v>16</v>
      </c>
      <c r="G3617" s="6" t="s">
        <v>17</v>
      </c>
      <c r="H3617" s="6" t="s">
        <v>141</v>
      </c>
      <c r="I3617" s="6" t="s">
        <v>142</v>
      </c>
      <c r="J3617" s="6" t="s">
        <v>4173</v>
      </c>
      <c r="K3617" s="7">
        <v>43612</v>
      </c>
      <c r="L3617" s="8">
        <v>0.33402777777777781</v>
      </c>
      <c r="M3617" s="6" t="s">
        <v>4174</v>
      </c>
      <c r="N3617" s="14" t="s">
        <v>21</v>
      </c>
      <c r="O3617" s="6" t="s">
        <v>22</v>
      </c>
    </row>
    <row r="3618" spans="1:15" hidden="1">
      <c r="A3618" s="6" t="s">
        <v>15</v>
      </c>
      <c r="B3618" s="6" t="str">
        <f>"FES1162691735"</f>
        <v>FES1162691735</v>
      </c>
      <c r="C3618" s="7">
        <v>43609</v>
      </c>
      <c r="D3618" s="6">
        <v>1</v>
      </c>
      <c r="E3618" s="6">
        <v>2170689891</v>
      </c>
      <c r="F3618" s="6" t="s">
        <v>16</v>
      </c>
      <c r="G3618" s="6" t="s">
        <v>17</v>
      </c>
      <c r="H3618" s="6" t="s">
        <v>290</v>
      </c>
      <c r="I3618" s="6" t="s">
        <v>316</v>
      </c>
      <c r="J3618" s="6" t="s">
        <v>284</v>
      </c>
      <c r="K3618" s="7">
        <v>43613</v>
      </c>
      <c r="L3618" s="8">
        <v>0.43124999999999997</v>
      </c>
      <c r="M3618" s="6" t="s">
        <v>320</v>
      </c>
      <c r="N3618" s="14" t="s">
        <v>21</v>
      </c>
      <c r="O3618" s="6" t="s">
        <v>22</v>
      </c>
    </row>
    <row r="3619" spans="1:15" hidden="1">
      <c r="A3619" s="6" t="s">
        <v>15</v>
      </c>
      <c r="B3619" s="6" t="str">
        <f>"FES1162691769"</f>
        <v>FES1162691769</v>
      </c>
      <c r="C3619" s="7">
        <v>43609</v>
      </c>
      <c r="D3619" s="6">
        <v>1</v>
      </c>
      <c r="E3619" s="6">
        <v>2170690094</v>
      </c>
      <c r="F3619" s="6" t="s">
        <v>16</v>
      </c>
      <c r="G3619" s="6" t="s">
        <v>17</v>
      </c>
      <c r="H3619" s="6" t="s">
        <v>300</v>
      </c>
      <c r="I3619" s="6" t="s">
        <v>301</v>
      </c>
      <c r="J3619" s="6" t="s">
        <v>3781</v>
      </c>
      <c r="K3619" s="7">
        <v>43612</v>
      </c>
      <c r="L3619" s="8">
        <v>0.4236111111111111</v>
      </c>
      <c r="M3619" s="6" t="s">
        <v>1609</v>
      </c>
      <c r="N3619" s="14" t="s">
        <v>21</v>
      </c>
      <c r="O3619" s="6" t="s">
        <v>22</v>
      </c>
    </row>
    <row r="3620" spans="1:15" hidden="1">
      <c r="A3620" s="6" t="s">
        <v>15</v>
      </c>
      <c r="B3620" s="6" t="str">
        <f>"FES1162691783"</f>
        <v>FES1162691783</v>
      </c>
      <c r="C3620" s="7">
        <v>43609</v>
      </c>
      <c r="D3620" s="6">
        <v>1</v>
      </c>
      <c r="E3620" s="6">
        <v>21706890110</v>
      </c>
      <c r="F3620" s="6" t="s">
        <v>16</v>
      </c>
      <c r="G3620" s="6" t="s">
        <v>17</v>
      </c>
      <c r="H3620" s="6" t="s">
        <v>300</v>
      </c>
      <c r="I3620" s="6" t="s">
        <v>301</v>
      </c>
      <c r="J3620" s="6" t="s">
        <v>3781</v>
      </c>
      <c r="K3620" s="7">
        <v>43612</v>
      </c>
      <c r="L3620" s="8">
        <v>0.41666666666666669</v>
      </c>
      <c r="M3620" s="6" t="s">
        <v>1609</v>
      </c>
      <c r="N3620" s="14" t="s">
        <v>21</v>
      </c>
      <c r="O3620" s="6" t="s">
        <v>22</v>
      </c>
    </row>
    <row r="3621" spans="1:15" hidden="1">
      <c r="A3621" s="6" t="s">
        <v>15</v>
      </c>
      <c r="B3621" s="6" t="str">
        <f>"FES1162691770"</f>
        <v>FES1162691770</v>
      </c>
      <c r="C3621" s="7">
        <v>43609</v>
      </c>
      <c r="D3621" s="6">
        <v>1</v>
      </c>
      <c r="E3621" s="6">
        <v>21706890097</v>
      </c>
      <c r="F3621" s="6" t="s">
        <v>16</v>
      </c>
      <c r="G3621" s="6" t="s">
        <v>17</v>
      </c>
      <c r="H3621" s="6" t="s">
        <v>300</v>
      </c>
      <c r="I3621" s="6" t="s">
        <v>301</v>
      </c>
      <c r="J3621" s="6" t="s">
        <v>3781</v>
      </c>
      <c r="K3621" s="7">
        <v>43612</v>
      </c>
      <c r="L3621" s="8">
        <v>0.4236111111111111</v>
      </c>
      <c r="M3621" s="6" t="s">
        <v>1609</v>
      </c>
      <c r="N3621" s="14" t="s">
        <v>21</v>
      </c>
      <c r="O3621" s="6" t="s">
        <v>22</v>
      </c>
    </row>
    <row r="3622" spans="1:15" hidden="1">
      <c r="A3622" s="6" t="s">
        <v>15</v>
      </c>
      <c r="B3622" s="6" t="str">
        <f>"FES1162691604"</f>
        <v>FES1162691604</v>
      </c>
      <c r="C3622" s="7">
        <v>43609</v>
      </c>
      <c r="D3622" s="6">
        <v>1</v>
      </c>
      <c r="E3622" s="6">
        <v>2170689908</v>
      </c>
      <c r="F3622" s="6" t="s">
        <v>16</v>
      </c>
      <c r="G3622" s="6" t="s">
        <v>17</v>
      </c>
      <c r="H3622" s="6" t="s">
        <v>132</v>
      </c>
      <c r="I3622" s="6" t="s">
        <v>133</v>
      </c>
      <c r="J3622" s="6" t="s">
        <v>639</v>
      </c>
      <c r="K3622" s="7">
        <v>43612</v>
      </c>
      <c r="L3622" s="8">
        <v>0.3833333333333333</v>
      </c>
      <c r="M3622" s="6" t="s">
        <v>3434</v>
      </c>
      <c r="N3622" s="14" t="s">
        <v>21</v>
      </c>
      <c r="O3622" s="6" t="s">
        <v>22</v>
      </c>
    </row>
    <row r="3623" spans="1:15" hidden="1">
      <c r="A3623" s="6" t="s">
        <v>15</v>
      </c>
      <c r="B3623" s="6" t="str">
        <f>"FES1162691635"</f>
        <v>FES1162691635</v>
      </c>
      <c r="C3623" s="7">
        <v>43609</v>
      </c>
      <c r="D3623" s="6">
        <v>1</v>
      </c>
      <c r="E3623" s="6">
        <v>2170689451</v>
      </c>
      <c r="F3623" s="6" t="s">
        <v>16</v>
      </c>
      <c r="G3623" s="6" t="s">
        <v>17</v>
      </c>
      <c r="H3623" s="6" t="s">
        <v>290</v>
      </c>
      <c r="I3623" s="6" t="s">
        <v>291</v>
      </c>
      <c r="J3623" s="6" t="s">
        <v>1293</v>
      </c>
      <c r="K3623" s="7">
        <v>43612</v>
      </c>
      <c r="L3623" s="8">
        <v>0.34027777777777773</v>
      </c>
      <c r="M3623" s="6" t="s">
        <v>3861</v>
      </c>
      <c r="N3623" s="14" t="s">
        <v>21</v>
      </c>
      <c r="O3623" s="6" t="s">
        <v>22</v>
      </c>
    </row>
    <row r="3624" spans="1:15" hidden="1">
      <c r="A3624" s="6" t="s">
        <v>15</v>
      </c>
      <c r="B3624" s="6" t="str">
        <f>"FES1162691774"</f>
        <v>FES1162691774</v>
      </c>
      <c r="C3624" s="7">
        <v>43609</v>
      </c>
      <c r="D3624" s="6">
        <v>1</v>
      </c>
      <c r="E3624" s="6">
        <v>2170690101</v>
      </c>
      <c r="F3624" s="6" t="s">
        <v>16</v>
      </c>
      <c r="G3624" s="6" t="s">
        <v>17</v>
      </c>
      <c r="H3624" s="6" t="s">
        <v>300</v>
      </c>
      <c r="I3624" s="6" t="s">
        <v>301</v>
      </c>
      <c r="J3624" s="6" t="s">
        <v>3781</v>
      </c>
      <c r="K3624" s="7">
        <v>43612</v>
      </c>
      <c r="L3624" s="8">
        <v>0.4236111111111111</v>
      </c>
      <c r="M3624" s="6" t="s">
        <v>1609</v>
      </c>
      <c r="N3624" s="14" t="s">
        <v>21</v>
      </c>
      <c r="O3624" s="6" t="s">
        <v>22</v>
      </c>
    </row>
    <row r="3625" spans="1:15" hidden="1">
      <c r="A3625" s="6" t="s">
        <v>15</v>
      </c>
      <c r="B3625" s="6" t="str">
        <f>"FES1162691809"</f>
        <v>FES1162691809</v>
      </c>
      <c r="C3625" s="7">
        <v>43609</v>
      </c>
      <c r="D3625" s="6">
        <v>1</v>
      </c>
      <c r="E3625" s="6">
        <v>2170690144</v>
      </c>
      <c r="F3625" s="6" t="s">
        <v>16</v>
      </c>
      <c r="G3625" s="6" t="s">
        <v>17</v>
      </c>
      <c r="H3625" s="6" t="s">
        <v>43</v>
      </c>
      <c r="I3625" s="6" t="s">
        <v>54</v>
      </c>
      <c r="J3625" s="6" t="s">
        <v>216</v>
      </c>
      <c r="K3625" s="7">
        <v>43612</v>
      </c>
      <c r="L3625" s="8">
        <v>0.40208333333333335</v>
      </c>
      <c r="M3625" s="6" t="s">
        <v>1443</v>
      </c>
      <c r="N3625" s="14" t="s">
        <v>21</v>
      </c>
      <c r="O3625" s="6" t="s">
        <v>22</v>
      </c>
    </row>
    <row r="3626" spans="1:15" hidden="1">
      <c r="A3626" s="6" t="s">
        <v>15</v>
      </c>
      <c r="B3626" s="6" t="str">
        <f>"FES1162691815"</f>
        <v>FES1162691815</v>
      </c>
      <c r="C3626" s="7">
        <v>43609</v>
      </c>
      <c r="D3626" s="6">
        <v>1</v>
      </c>
      <c r="E3626" s="6">
        <v>2170690153</v>
      </c>
      <c r="F3626" s="6" t="s">
        <v>16</v>
      </c>
      <c r="G3626" s="6" t="s">
        <v>17</v>
      </c>
      <c r="H3626" s="6" t="s">
        <v>43</v>
      </c>
      <c r="I3626" s="6" t="s">
        <v>44</v>
      </c>
      <c r="J3626" s="6" t="s">
        <v>2006</v>
      </c>
      <c r="K3626" s="7">
        <v>43612</v>
      </c>
      <c r="L3626" s="8">
        <v>0.44513888888888892</v>
      </c>
      <c r="M3626" s="6" t="s">
        <v>4183</v>
      </c>
      <c r="N3626" s="14" t="s">
        <v>21</v>
      </c>
      <c r="O3626" s="6" t="s">
        <v>22</v>
      </c>
    </row>
    <row r="3627" spans="1:15">
      <c r="A3627" s="6" t="s">
        <v>15</v>
      </c>
      <c r="B3627" s="6" t="str">
        <f>"FES1162691824"</f>
        <v>FES1162691824</v>
      </c>
      <c r="C3627" s="7">
        <v>43609</v>
      </c>
      <c r="D3627" s="6">
        <v>1</v>
      </c>
      <c r="E3627" s="6">
        <v>2170690165</v>
      </c>
      <c r="F3627" s="6" t="s">
        <v>16</v>
      </c>
      <c r="G3627" s="6" t="s">
        <v>17</v>
      </c>
      <c r="H3627" s="6" t="s">
        <v>17</v>
      </c>
      <c r="I3627" s="6" t="s">
        <v>18</v>
      </c>
      <c r="J3627" s="6" t="s">
        <v>19</v>
      </c>
      <c r="K3627" s="7">
        <v>43612</v>
      </c>
      <c r="L3627" s="8">
        <v>0.41666666666666669</v>
      </c>
      <c r="M3627" s="6" t="s">
        <v>1327</v>
      </c>
      <c r="N3627" s="14" t="s">
        <v>21</v>
      </c>
      <c r="O3627" s="6" t="s">
        <v>22</v>
      </c>
    </row>
    <row r="3628" spans="1:15" hidden="1">
      <c r="A3628" s="6" t="s">
        <v>15</v>
      </c>
      <c r="B3628" s="6" t="str">
        <f>"FES1162691734"</f>
        <v>FES1162691734</v>
      </c>
      <c r="C3628" s="7">
        <v>43609</v>
      </c>
      <c r="D3628" s="6">
        <v>1</v>
      </c>
      <c r="E3628" s="6">
        <v>2170689772</v>
      </c>
      <c r="F3628" s="6" t="s">
        <v>16</v>
      </c>
      <c r="G3628" s="6" t="s">
        <v>17</v>
      </c>
      <c r="H3628" s="6" t="s">
        <v>290</v>
      </c>
      <c r="I3628" s="6" t="s">
        <v>291</v>
      </c>
      <c r="J3628" s="6" t="s">
        <v>1913</v>
      </c>
      <c r="K3628" s="7">
        <v>43612</v>
      </c>
      <c r="L3628" s="8">
        <v>0.3611111111111111</v>
      </c>
      <c r="M3628" s="6" t="s">
        <v>4185</v>
      </c>
      <c r="N3628" s="14" t="s">
        <v>21</v>
      </c>
      <c r="O3628" s="6" t="s">
        <v>22</v>
      </c>
    </row>
    <row r="3629" spans="1:15" hidden="1">
      <c r="A3629" s="6" t="s">
        <v>15</v>
      </c>
      <c r="B3629" s="6" t="str">
        <f>"FES1162691797"</f>
        <v>FES1162691797</v>
      </c>
      <c r="C3629" s="7">
        <v>43609</v>
      </c>
      <c r="D3629" s="6">
        <v>1</v>
      </c>
      <c r="E3629" s="6">
        <v>2170690122</v>
      </c>
      <c r="F3629" s="6" t="s">
        <v>16</v>
      </c>
      <c r="G3629" s="6" t="s">
        <v>17</v>
      </c>
      <c r="H3629" s="6" t="s">
        <v>290</v>
      </c>
      <c r="I3629" s="6" t="s">
        <v>316</v>
      </c>
      <c r="J3629" s="6" t="s">
        <v>317</v>
      </c>
      <c r="K3629" s="7">
        <v>43612</v>
      </c>
      <c r="L3629" s="8">
        <v>0.5</v>
      </c>
      <c r="M3629" s="6" t="s">
        <v>92</v>
      </c>
      <c r="N3629" s="14" t="s">
        <v>21</v>
      </c>
      <c r="O3629" s="6" t="s">
        <v>22</v>
      </c>
    </row>
    <row r="3630" spans="1:15">
      <c r="A3630" s="6" t="s">
        <v>15</v>
      </c>
      <c r="B3630" s="6" t="str">
        <f>"FES1162691710"</f>
        <v>FES1162691710</v>
      </c>
      <c r="C3630" s="7">
        <v>43609</v>
      </c>
      <c r="D3630" s="6">
        <v>1</v>
      </c>
      <c r="E3630" s="6">
        <v>2170689845</v>
      </c>
      <c r="F3630" s="6" t="s">
        <v>16</v>
      </c>
      <c r="G3630" s="6" t="s">
        <v>17</v>
      </c>
      <c r="H3630" s="6" t="s">
        <v>17</v>
      </c>
      <c r="I3630" s="6" t="s">
        <v>64</v>
      </c>
      <c r="J3630" s="6" t="s">
        <v>724</v>
      </c>
      <c r="K3630" s="7">
        <v>43612</v>
      </c>
      <c r="L3630" s="8">
        <v>0.3527777777777778</v>
      </c>
      <c r="M3630" s="6" t="s">
        <v>1669</v>
      </c>
      <c r="N3630" s="14" t="s">
        <v>21</v>
      </c>
      <c r="O3630" s="6" t="s">
        <v>22</v>
      </c>
    </row>
    <row r="3631" spans="1:15" hidden="1">
      <c r="A3631" s="6" t="s">
        <v>15</v>
      </c>
      <c r="B3631" s="6" t="str">
        <f>"FES1162691689"</f>
        <v>FES1162691689</v>
      </c>
      <c r="C3631" s="7">
        <v>43609</v>
      </c>
      <c r="D3631" s="6">
        <v>1</v>
      </c>
      <c r="E3631" s="6">
        <v>2170690002</v>
      </c>
      <c r="F3631" s="6" t="s">
        <v>16</v>
      </c>
      <c r="G3631" s="6" t="s">
        <v>17</v>
      </c>
      <c r="H3631" s="6" t="s">
        <v>290</v>
      </c>
      <c r="I3631" s="6" t="s">
        <v>291</v>
      </c>
      <c r="J3631" s="6" t="s">
        <v>1744</v>
      </c>
      <c r="K3631" s="7">
        <v>43612</v>
      </c>
      <c r="L3631" s="8">
        <v>0.36180555555555555</v>
      </c>
      <c r="M3631" s="6" t="s">
        <v>1745</v>
      </c>
      <c r="N3631" s="14" t="s">
        <v>21</v>
      </c>
      <c r="O3631" s="6" t="s">
        <v>22</v>
      </c>
    </row>
    <row r="3632" spans="1:15" hidden="1">
      <c r="A3632" s="6" t="s">
        <v>15</v>
      </c>
      <c r="B3632" s="6" t="str">
        <f>"FES1162691704"</f>
        <v>FES1162691704</v>
      </c>
      <c r="C3632" s="7">
        <v>43609</v>
      </c>
      <c r="D3632" s="6">
        <v>1</v>
      </c>
      <c r="E3632" s="6">
        <v>2170690021</v>
      </c>
      <c r="F3632" s="6" t="s">
        <v>16</v>
      </c>
      <c r="G3632" s="6" t="s">
        <v>17</v>
      </c>
      <c r="H3632" s="6" t="s">
        <v>141</v>
      </c>
      <c r="I3632" s="6" t="s">
        <v>448</v>
      </c>
      <c r="J3632" s="6" t="s">
        <v>449</v>
      </c>
      <c r="K3632" s="7">
        <v>43612</v>
      </c>
      <c r="L3632" s="8">
        <v>0.41666666666666669</v>
      </c>
      <c r="M3632" s="6" t="s">
        <v>1182</v>
      </c>
      <c r="N3632" s="14" t="s">
        <v>21</v>
      </c>
      <c r="O3632" s="6" t="s">
        <v>22</v>
      </c>
    </row>
    <row r="3633" spans="1:15">
      <c r="A3633" s="6" t="s">
        <v>15</v>
      </c>
      <c r="B3633" s="6" t="str">
        <f>"FES1162691732"</f>
        <v>FES1162691732</v>
      </c>
      <c r="C3633" s="7">
        <v>43609</v>
      </c>
      <c r="D3633" s="6">
        <v>1</v>
      </c>
      <c r="E3633" s="6">
        <v>2170689587</v>
      </c>
      <c r="F3633" s="6" t="s">
        <v>16</v>
      </c>
      <c r="G3633" s="6" t="s">
        <v>17</v>
      </c>
      <c r="H3633" s="6" t="s">
        <v>17</v>
      </c>
      <c r="I3633" s="6" t="s">
        <v>18</v>
      </c>
      <c r="J3633" s="6" t="s">
        <v>1368</v>
      </c>
      <c r="K3633" s="7">
        <v>43612</v>
      </c>
      <c r="L3633" s="8">
        <v>0.33888888888888885</v>
      </c>
      <c r="M3633" s="6" t="s">
        <v>4329</v>
      </c>
      <c r="N3633" s="14" t="s">
        <v>21</v>
      </c>
      <c r="O3633" s="6" t="s">
        <v>22</v>
      </c>
    </row>
    <row r="3634" spans="1:15">
      <c r="A3634" s="6" t="s">
        <v>15</v>
      </c>
      <c r="B3634" s="6" t="str">
        <f>"FES1162691811"</f>
        <v>FES1162691811</v>
      </c>
      <c r="C3634" s="7">
        <v>43609</v>
      </c>
      <c r="D3634" s="6">
        <v>1</v>
      </c>
      <c r="E3634" s="6">
        <v>217069953</v>
      </c>
      <c r="F3634" s="6" t="s">
        <v>16</v>
      </c>
      <c r="G3634" s="6" t="s">
        <v>17</v>
      </c>
      <c r="H3634" s="6" t="s">
        <v>17</v>
      </c>
      <c r="I3634" s="6" t="s">
        <v>64</v>
      </c>
      <c r="J3634" s="6" t="s">
        <v>98</v>
      </c>
      <c r="K3634" s="7">
        <v>43612</v>
      </c>
      <c r="L3634" s="8">
        <v>0.33333333333333331</v>
      </c>
      <c r="M3634" s="6" t="s">
        <v>4332</v>
      </c>
      <c r="N3634" s="14" t="s">
        <v>21</v>
      </c>
      <c r="O3634" s="6" t="s">
        <v>22</v>
      </c>
    </row>
    <row r="3635" spans="1:15" hidden="1">
      <c r="A3635" s="6" t="s">
        <v>15</v>
      </c>
      <c r="B3635" s="6" t="str">
        <f>"FES1162691818"</f>
        <v>FES1162691818</v>
      </c>
      <c r="C3635" s="7">
        <v>43609</v>
      </c>
      <c r="D3635" s="6">
        <v>1</v>
      </c>
      <c r="E3635" s="6">
        <v>2170690158</v>
      </c>
      <c r="F3635" s="6" t="s">
        <v>16</v>
      </c>
      <c r="G3635" s="6" t="s">
        <v>17</v>
      </c>
      <c r="H3635" s="6" t="s">
        <v>43</v>
      </c>
      <c r="I3635" s="6" t="s">
        <v>75</v>
      </c>
      <c r="J3635" s="6" t="s">
        <v>76</v>
      </c>
      <c r="K3635" s="7">
        <v>43612</v>
      </c>
      <c r="L3635" s="8">
        <v>0.46666666666666662</v>
      </c>
      <c r="M3635" s="6" t="s">
        <v>4187</v>
      </c>
      <c r="N3635" s="14" t="s">
        <v>21</v>
      </c>
      <c r="O3635" s="6" t="s">
        <v>22</v>
      </c>
    </row>
    <row r="3636" spans="1:15" hidden="1">
      <c r="A3636" s="6" t="s">
        <v>15</v>
      </c>
      <c r="B3636" s="6" t="str">
        <f>"FES1162691817"</f>
        <v>FES1162691817</v>
      </c>
      <c r="C3636" s="7">
        <v>43609</v>
      </c>
      <c r="D3636" s="6">
        <v>1</v>
      </c>
      <c r="E3636" s="6">
        <v>2170690156</v>
      </c>
      <c r="F3636" s="6" t="s">
        <v>16</v>
      </c>
      <c r="G3636" s="6" t="s">
        <v>17</v>
      </c>
      <c r="H3636" s="6" t="s">
        <v>43</v>
      </c>
      <c r="I3636" s="6" t="s">
        <v>44</v>
      </c>
      <c r="J3636" s="6" t="s">
        <v>336</v>
      </c>
      <c r="K3636" s="7">
        <v>43612</v>
      </c>
      <c r="L3636" s="8">
        <v>0.33819444444444446</v>
      </c>
      <c r="M3636" s="6" t="s">
        <v>3032</v>
      </c>
      <c r="N3636" s="14" t="s">
        <v>21</v>
      </c>
      <c r="O3636" s="6" t="s">
        <v>22</v>
      </c>
    </row>
    <row r="3637" spans="1:15" hidden="1">
      <c r="A3637" s="6" t="s">
        <v>15</v>
      </c>
      <c r="B3637" s="6" t="str">
        <f>"FES1162691741"</f>
        <v>FES1162691741</v>
      </c>
      <c r="C3637" s="7">
        <v>43609</v>
      </c>
      <c r="D3637" s="6">
        <v>1</v>
      </c>
      <c r="E3637" s="6">
        <v>2170690047</v>
      </c>
      <c r="F3637" s="6" t="s">
        <v>16</v>
      </c>
      <c r="G3637" s="6" t="s">
        <v>17</v>
      </c>
      <c r="H3637" s="6" t="s">
        <v>290</v>
      </c>
      <c r="I3637" s="6" t="s">
        <v>291</v>
      </c>
      <c r="J3637" s="6" t="s">
        <v>1293</v>
      </c>
      <c r="K3637" s="7">
        <v>43612</v>
      </c>
      <c r="L3637" s="8">
        <v>0.34027777777777773</v>
      </c>
      <c r="M3637" s="6" t="s">
        <v>3861</v>
      </c>
      <c r="N3637" s="14" t="s">
        <v>21</v>
      </c>
      <c r="O3637" s="6" t="s">
        <v>22</v>
      </c>
    </row>
    <row r="3638" spans="1:15" hidden="1">
      <c r="A3638" s="6" t="s">
        <v>15</v>
      </c>
      <c r="B3638" s="6" t="str">
        <f>"FES1162691773"</f>
        <v>FES1162691773</v>
      </c>
      <c r="C3638" s="7">
        <v>43609</v>
      </c>
      <c r="D3638" s="6">
        <v>1</v>
      </c>
      <c r="E3638" s="6">
        <v>21706901000</v>
      </c>
      <c r="F3638" s="6" t="s">
        <v>16</v>
      </c>
      <c r="G3638" s="6" t="s">
        <v>17</v>
      </c>
      <c r="H3638" s="6" t="s">
        <v>43</v>
      </c>
      <c r="I3638" s="6" t="s">
        <v>75</v>
      </c>
      <c r="J3638" s="6" t="s">
        <v>2472</v>
      </c>
      <c r="K3638" s="7">
        <v>43612</v>
      </c>
      <c r="L3638" s="8">
        <v>0.45833333333333331</v>
      </c>
      <c r="M3638" s="6" t="s">
        <v>2473</v>
      </c>
      <c r="N3638" s="14" t="s">
        <v>21</v>
      </c>
      <c r="O3638" s="6" t="s">
        <v>22</v>
      </c>
    </row>
    <row r="3639" spans="1:15" hidden="1">
      <c r="A3639" s="6" t="s">
        <v>15</v>
      </c>
      <c r="B3639" s="6" t="str">
        <f>"FES1162691779"</f>
        <v>FES1162691779</v>
      </c>
      <c r="C3639" s="7">
        <v>43609</v>
      </c>
      <c r="D3639" s="6">
        <v>1</v>
      </c>
      <c r="E3639" s="6">
        <v>2170690104</v>
      </c>
      <c r="F3639" s="6" t="s">
        <v>16</v>
      </c>
      <c r="G3639" s="6" t="s">
        <v>17</v>
      </c>
      <c r="H3639" s="6" t="s">
        <v>43</v>
      </c>
      <c r="I3639" s="6" t="s">
        <v>44</v>
      </c>
      <c r="J3639" s="6" t="s">
        <v>207</v>
      </c>
      <c r="K3639" s="7">
        <v>43612</v>
      </c>
      <c r="L3639" s="8">
        <v>0.37152777777777773</v>
      </c>
      <c r="M3639" s="6" t="s">
        <v>1502</v>
      </c>
      <c r="N3639" s="14" t="s">
        <v>21</v>
      </c>
      <c r="O3639" s="6" t="s">
        <v>22</v>
      </c>
    </row>
    <row r="3640" spans="1:15" hidden="1">
      <c r="A3640" s="6" t="s">
        <v>15</v>
      </c>
      <c r="B3640" s="6" t="str">
        <f>"FES1162691826"</f>
        <v>FES1162691826</v>
      </c>
      <c r="C3640" s="7">
        <v>43609</v>
      </c>
      <c r="D3640" s="6">
        <v>1</v>
      </c>
      <c r="E3640" s="6">
        <v>21706590167</v>
      </c>
      <c r="F3640" s="6" t="s">
        <v>16</v>
      </c>
      <c r="G3640" s="6" t="s">
        <v>17</v>
      </c>
      <c r="H3640" s="6" t="s">
        <v>32</v>
      </c>
      <c r="I3640" s="6" t="s">
        <v>33</v>
      </c>
      <c r="J3640" s="6" t="s">
        <v>34</v>
      </c>
      <c r="K3640" s="7">
        <v>43612</v>
      </c>
      <c r="L3640" s="8">
        <v>0.34375</v>
      </c>
      <c r="M3640" s="6" t="s">
        <v>35</v>
      </c>
      <c r="N3640" s="14" t="s">
        <v>21</v>
      </c>
      <c r="O3640" s="6" t="s">
        <v>22</v>
      </c>
    </row>
    <row r="3641" spans="1:15" hidden="1">
      <c r="A3641" s="6" t="s">
        <v>15</v>
      </c>
      <c r="B3641" s="6" t="str">
        <f>"FES1162691827"</f>
        <v>FES1162691827</v>
      </c>
      <c r="C3641" s="7">
        <v>43609</v>
      </c>
      <c r="D3641" s="6">
        <v>1</v>
      </c>
      <c r="E3641" s="6">
        <v>2170690168</v>
      </c>
      <c r="F3641" s="6" t="s">
        <v>16</v>
      </c>
      <c r="G3641" s="6" t="s">
        <v>17</v>
      </c>
      <c r="H3641" s="6" t="s">
        <v>37</v>
      </c>
      <c r="I3641" s="6" t="s">
        <v>38</v>
      </c>
      <c r="J3641" s="6" t="s">
        <v>766</v>
      </c>
      <c r="K3641" s="7">
        <v>43612</v>
      </c>
      <c r="L3641" s="8">
        <v>0.3666666666666667</v>
      </c>
      <c r="M3641" s="6" t="s">
        <v>1247</v>
      </c>
      <c r="N3641" s="14" t="s">
        <v>21</v>
      </c>
      <c r="O3641" s="6" t="s">
        <v>22</v>
      </c>
    </row>
    <row r="3642" spans="1:15" hidden="1">
      <c r="A3642" s="6" t="s">
        <v>15</v>
      </c>
      <c r="B3642" s="6" t="str">
        <f>"FES1162691814"</f>
        <v>FES1162691814</v>
      </c>
      <c r="C3642" s="7">
        <v>43609</v>
      </c>
      <c r="D3642" s="6">
        <v>1</v>
      </c>
      <c r="E3642" s="6">
        <v>2170690152</v>
      </c>
      <c r="F3642" s="6" t="s">
        <v>16</v>
      </c>
      <c r="G3642" s="6" t="s">
        <v>17</v>
      </c>
      <c r="H3642" s="6" t="s">
        <v>43</v>
      </c>
      <c r="I3642" s="6" t="s">
        <v>44</v>
      </c>
      <c r="J3642" s="6" t="s">
        <v>733</v>
      </c>
      <c r="K3642" s="7">
        <v>43612</v>
      </c>
      <c r="L3642" s="8">
        <v>0.4909722222222222</v>
      </c>
      <c r="M3642" s="6" t="s">
        <v>734</v>
      </c>
      <c r="N3642" s="14" t="s">
        <v>21</v>
      </c>
      <c r="O3642" s="6" t="s">
        <v>22</v>
      </c>
    </row>
    <row r="3643" spans="1:15" hidden="1">
      <c r="A3643" s="6" t="s">
        <v>15</v>
      </c>
      <c r="B3643" s="6" t="str">
        <f>"FES1162691728"</f>
        <v>FES1162691728</v>
      </c>
      <c r="C3643" s="7">
        <v>43609</v>
      </c>
      <c r="D3643" s="6">
        <v>1</v>
      </c>
      <c r="E3643" s="6">
        <v>2170688382</v>
      </c>
      <c r="F3643" s="6" t="s">
        <v>16</v>
      </c>
      <c r="G3643" s="6" t="s">
        <v>17</v>
      </c>
      <c r="H3643" s="6" t="s">
        <v>141</v>
      </c>
      <c r="I3643" s="6" t="s">
        <v>142</v>
      </c>
      <c r="J3643" s="6" t="s">
        <v>1380</v>
      </c>
      <c r="K3643" s="7">
        <v>43612</v>
      </c>
      <c r="L3643" s="8">
        <v>0.34652777777777777</v>
      </c>
      <c r="M3643" s="6" t="s">
        <v>3004</v>
      </c>
      <c r="N3643" s="14" t="s">
        <v>21</v>
      </c>
      <c r="O3643" s="6" t="s">
        <v>22</v>
      </c>
    </row>
    <row r="3644" spans="1:15" hidden="1">
      <c r="A3644" s="6" t="s">
        <v>15</v>
      </c>
      <c r="B3644" s="6" t="str">
        <f>"FES1162691808"</f>
        <v>FES1162691808</v>
      </c>
      <c r="C3644" s="7">
        <v>43609</v>
      </c>
      <c r="D3644" s="6">
        <v>1</v>
      </c>
      <c r="E3644" s="6">
        <v>2170686146</v>
      </c>
      <c r="F3644" s="6" t="s">
        <v>16</v>
      </c>
      <c r="G3644" s="6" t="s">
        <v>17</v>
      </c>
      <c r="H3644" s="6" t="s">
        <v>32</v>
      </c>
      <c r="I3644" s="6" t="s">
        <v>33</v>
      </c>
      <c r="J3644" s="6" t="s">
        <v>3953</v>
      </c>
      <c r="K3644" s="7">
        <v>43612</v>
      </c>
      <c r="L3644" s="8">
        <v>0.36180555555555555</v>
      </c>
      <c r="M3644" s="6" t="s">
        <v>4196</v>
      </c>
      <c r="N3644" s="14" t="s">
        <v>21</v>
      </c>
      <c r="O3644" s="6" t="s">
        <v>22</v>
      </c>
    </row>
    <row r="3645" spans="1:15">
      <c r="A3645" s="6" t="s">
        <v>15</v>
      </c>
      <c r="B3645" s="6" t="str">
        <f>"FES1162691754"</f>
        <v>FES1162691754</v>
      </c>
      <c r="C3645" s="7">
        <v>43609</v>
      </c>
      <c r="D3645" s="6">
        <v>1</v>
      </c>
      <c r="E3645" s="6">
        <v>2170690070</v>
      </c>
      <c r="F3645" s="6" t="s">
        <v>16</v>
      </c>
      <c r="G3645" s="6" t="s">
        <v>17</v>
      </c>
      <c r="H3645" s="6" t="s">
        <v>17</v>
      </c>
      <c r="I3645" s="6" t="s">
        <v>84</v>
      </c>
      <c r="J3645" s="6" t="s">
        <v>85</v>
      </c>
      <c r="K3645" s="7">
        <v>43612</v>
      </c>
      <c r="L3645" s="8">
        <v>0.33333333333333331</v>
      </c>
      <c r="M3645" s="6" t="s">
        <v>4333</v>
      </c>
      <c r="N3645" s="14" t="s">
        <v>21</v>
      </c>
      <c r="O3645" s="6" t="s">
        <v>22</v>
      </c>
    </row>
    <row r="3646" spans="1:15" hidden="1">
      <c r="A3646" s="6" t="s">
        <v>15</v>
      </c>
      <c r="B3646" s="6" t="str">
        <f>"FES1162691738"</f>
        <v>FES1162691738</v>
      </c>
      <c r="C3646" s="7">
        <v>43609</v>
      </c>
      <c r="D3646" s="6">
        <v>1</v>
      </c>
      <c r="E3646" s="6">
        <v>2170690039</v>
      </c>
      <c r="F3646" s="6" t="s">
        <v>16</v>
      </c>
      <c r="G3646" s="6" t="s">
        <v>17</v>
      </c>
      <c r="H3646" s="6" t="s">
        <v>43</v>
      </c>
      <c r="I3646" s="6" t="s">
        <v>75</v>
      </c>
      <c r="J3646" s="6" t="s">
        <v>3319</v>
      </c>
      <c r="K3646" s="7">
        <v>43612</v>
      </c>
      <c r="L3646" s="8">
        <v>0.43402777777777773</v>
      </c>
      <c r="M3646" s="6" t="s">
        <v>4198</v>
      </c>
      <c r="N3646" s="14" t="s">
        <v>21</v>
      </c>
      <c r="O3646" s="6" t="s">
        <v>22</v>
      </c>
    </row>
    <row r="3647" spans="1:15" hidden="1">
      <c r="A3647" s="6" t="s">
        <v>15</v>
      </c>
      <c r="B3647" s="6" t="str">
        <f>"FES1162691742"</f>
        <v>FES1162691742</v>
      </c>
      <c r="C3647" s="7">
        <v>43609</v>
      </c>
      <c r="D3647" s="6">
        <v>1</v>
      </c>
      <c r="E3647" s="6">
        <v>2170690048</v>
      </c>
      <c r="F3647" s="6" t="s">
        <v>16</v>
      </c>
      <c r="G3647" s="6" t="s">
        <v>17</v>
      </c>
      <c r="H3647" s="6" t="s">
        <v>43</v>
      </c>
      <c r="I3647" s="6" t="s">
        <v>75</v>
      </c>
      <c r="J3647" s="6" t="s">
        <v>222</v>
      </c>
      <c r="K3647" s="7">
        <v>43612</v>
      </c>
      <c r="L3647" s="8">
        <v>0.45416666666666666</v>
      </c>
      <c r="M3647" s="6" t="s">
        <v>2515</v>
      </c>
      <c r="N3647" s="14" t="s">
        <v>21</v>
      </c>
      <c r="O3647" s="6" t="s">
        <v>22</v>
      </c>
    </row>
    <row r="3648" spans="1:15" hidden="1">
      <c r="A3648" s="6" t="s">
        <v>15</v>
      </c>
      <c r="B3648" s="6" t="str">
        <f>"FES1162691793"</f>
        <v>FES1162691793</v>
      </c>
      <c r="C3648" s="7">
        <v>43609</v>
      </c>
      <c r="D3648" s="6">
        <v>1</v>
      </c>
      <c r="E3648" s="6">
        <v>2170690118</v>
      </c>
      <c r="F3648" s="6" t="s">
        <v>16</v>
      </c>
      <c r="G3648" s="6" t="s">
        <v>17</v>
      </c>
      <c r="H3648" s="6" t="s">
        <v>141</v>
      </c>
      <c r="I3648" s="6" t="s">
        <v>142</v>
      </c>
      <c r="J3648" s="6" t="s">
        <v>976</v>
      </c>
      <c r="K3648" s="7">
        <v>43612</v>
      </c>
      <c r="L3648" s="8">
        <v>0.42986111111111108</v>
      </c>
      <c r="M3648" s="6" t="s">
        <v>977</v>
      </c>
      <c r="N3648" s="14" t="s">
        <v>21</v>
      </c>
      <c r="O3648" s="6" t="s">
        <v>22</v>
      </c>
    </row>
    <row r="3649" spans="1:15" hidden="1">
      <c r="A3649" s="6" t="s">
        <v>15</v>
      </c>
      <c r="B3649" s="6" t="str">
        <f>"FES1162691726"</f>
        <v>FES1162691726</v>
      </c>
      <c r="C3649" s="7">
        <v>43609</v>
      </c>
      <c r="D3649" s="6">
        <v>1</v>
      </c>
      <c r="E3649" s="6">
        <v>2170687822</v>
      </c>
      <c r="F3649" s="6" t="s">
        <v>16</v>
      </c>
      <c r="G3649" s="6" t="s">
        <v>17</v>
      </c>
      <c r="H3649" s="6" t="s">
        <v>43</v>
      </c>
      <c r="I3649" s="6" t="s">
        <v>75</v>
      </c>
      <c r="J3649" s="6" t="s">
        <v>2472</v>
      </c>
      <c r="K3649" s="7">
        <v>43612</v>
      </c>
      <c r="L3649" s="8">
        <v>0.45833333333333331</v>
      </c>
      <c r="M3649" s="6" t="s">
        <v>2473</v>
      </c>
      <c r="N3649" s="14" t="s">
        <v>21</v>
      </c>
      <c r="O3649" s="6" t="s">
        <v>22</v>
      </c>
    </row>
    <row r="3650" spans="1:15">
      <c r="A3650" s="6" t="s">
        <v>15</v>
      </c>
      <c r="B3650" s="6" t="str">
        <f>"FES1162691725"</f>
        <v>FES1162691725</v>
      </c>
      <c r="C3650" s="7">
        <v>43609</v>
      </c>
      <c r="D3650" s="6">
        <v>1</v>
      </c>
      <c r="E3650" s="6">
        <v>2170687593</v>
      </c>
      <c r="F3650" s="6" t="s">
        <v>16</v>
      </c>
      <c r="G3650" s="6" t="s">
        <v>17</v>
      </c>
      <c r="H3650" s="6" t="s">
        <v>17</v>
      </c>
      <c r="I3650" s="6" t="s">
        <v>18</v>
      </c>
      <c r="J3650" s="6" t="s">
        <v>4334</v>
      </c>
      <c r="K3650" s="7">
        <v>43612</v>
      </c>
      <c r="L3650" s="8">
        <v>0.33333333333333331</v>
      </c>
      <c r="M3650" s="6" t="s">
        <v>4335</v>
      </c>
      <c r="N3650" s="14" t="s">
        <v>21</v>
      </c>
      <c r="O3650" s="6" t="s">
        <v>22</v>
      </c>
    </row>
    <row r="3651" spans="1:15" hidden="1">
      <c r="A3651" s="6" t="s">
        <v>15</v>
      </c>
      <c r="B3651" s="6" t="str">
        <f>"FES1162691733"</f>
        <v>FES1162691733</v>
      </c>
      <c r="C3651" s="7">
        <v>43609</v>
      </c>
      <c r="D3651" s="6">
        <v>1</v>
      </c>
      <c r="E3651" s="6">
        <v>2170689606</v>
      </c>
      <c r="F3651" s="6" t="s">
        <v>16</v>
      </c>
      <c r="G3651" s="6" t="s">
        <v>17</v>
      </c>
      <c r="H3651" s="6" t="s">
        <v>43</v>
      </c>
      <c r="I3651" s="6" t="s">
        <v>44</v>
      </c>
      <c r="J3651" s="6" t="s">
        <v>176</v>
      </c>
      <c r="K3651" s="7">
        <v>43612</v>
      </c>
      <c r="L3651" s="8">
        <v>0.32500000000000001</v>
      </c>
      <c r="M3651" s="6" t="s">
        <v>177</v>
      </c>
      <c r="N3651" s="14" t="s">
        <v>21</v>
      </c>
      <c r="O3651" s="6" t="s">
        <v>22</v>
      </c>
    </row>
    <row r="3652" spans="1:15" hidden="1">
      <c r="A3652" s="6" t="s">
        <v>15</v>
      </c>
      <c r="B3652" s="6" t="str">
        <f>"FES1162691766"</f>
        <v>FES1162691766</v>
      </c>
      <c r="C3652" s="7">
        <v>43609</v>
      </c>
      <c r="D3652" s="6">
        <v>1</v>
      </c>
      <c r="E3652" s="6">
        <v>217068916</v>
      </c>
      <c r="F3652" s="6" t="s">
        <v>16</v>
      </c>
      <c r="G3652" s="6" t="s">
        <v>17</v>
      </c>
      <c r="H3652" s="6" t="s">
        <v>132</v>
      </c>
      <c r="I3652" s="6" t="s">
        <v>133</v>
      </c>
      <c r="J3652" s="6" t="s">
        <v>189</v>
      </c>
      <c r="K3652" s="7">
        <v>43612</v>
      </c>
      <c r="L3652" s="8">
        <v>0.40625</v>
      </c>
      <c r="M3652" s="6" t="s">
        <v>585</v>
      </c>
      <c r="N3652" s="14" t="s">
        <v>21</v>
      </c>
      <c r="O3652" s="6" t="s">
        <v>22</v>
      </c>
    </row>
    <row r="3653" spans="1:15" hidden="1">
      <c r="A3653" s="6" t="s">
        <v>15</v>
      </c>
      <c r="B3653" s="6" t="str">
        <f>"FES1162691753"</f>
        <v>FES1162691753</v>
      </c>
      <c r="C3653" s="7">
        <v>43609</v>
      </c>
      <c r="D3653" s="6">
        <v>1</v>
      </c>
      <c r="E3653" s="6">
        <v>21706890267</v>
      </c>
      <c r="F3653" s="6" t="s">
        <v>16</v>
      </c>
      <c r="G3653" s="6" t="s">
        <v>17</v>
      </c>
      <c r="H3653" s="6" t="s">
        <v>132</v>
      </c>
      <c r="I3653" s="6" t="s">
        <v>133</v>
      </c>
      <c r="J3653" s="6" t="s">
        <v>1813</v>
      </c>
      <c r="K3653" s="7">
        <v>43612</v>
      </c>
      <c r="L3653" s="8">
        <v>0.41736111111111113</v>
      </c>
      <c r="M3653" s="6" t="s">
        <v>4204</v>
      </c>
      <c r="N3653" s="14" t="s">
        <v>21</v>
      </c>
      <c r="O3653" s="6" t="s">
        <v>22</v>
      </c>
    </row>
    <row r="3654" spans="1:15" hidden="1">
      <c r="A3654" s="6" t="s">
        <v>15</v>
      </c>
      <c r="B3654" s="6" t="str">
        <f>"FES1162691765"</f>
        <v>FES1162691765</v>
      </c>
      <c r="C3654" s="7">
        <v>43609</v>
      </c>
      <c r="D3654" s="6">
        <v>1</v>
      </c>
      <c r="E3654" s="6">
        <v>2170690089</v>
      </c>
      <c r="F3654" s="6" t="s">
        <v>16</v>
      </c>
      <c r="G3654" s="6" t="s">
        <v>17</v>
      </c>
      <c r="H3654" s="6" t="s">
        <v>141</v>
      </c>
      <c r="I3654" s="6" t="s">
        <v>185</v>
      </c>
      <c r="J3654" s="6" t="s">
        <v>210</v>
      </c>
      <c r="K3654" s="7">
        <v>43612</v>
      </c>
      <c r="L3654" s="8">
        <v>0.37083333333333335</v>
      </c>
      <c r="M3654" s="6" t="s">
        <v>211</v>
      </c>
      <c r="N3654" s="14" t="s">
        <v>21</v>
      </c>
      <c r="O3654" s="6" t="s">
        <v>22</v>
      </c>
    </row>
    <row r="3655" spans="1:15" hidden="1">
      <c r="A3655" s="6" t="s">
        <v>15</v>
      </c>
      <c r="B3655" s="6" t="str">
        <f>"FES1162691701"</f>
        <v>FES1162691701</v>
      </c>
      <c r="C3655" s="7">
        <v>43609</v>
      </c>
      <c r="D3655" s="6">
        <v>1</v>
      </c>
      <c r="E3655" s="6">
        <v>2170690013</v>
      </c>
      <c r="F3655" s="6" t="s">
        <v>16</v>
      </c>
      <c r="G3655" s="6" t="s">
        <v>17</v>
      </c>
      <c r="H3655" s="6" t="s">
        <v>141</v>
      </c>
      <c r="I3655" s="6" t="s">
        <v>142</v>
      </c>
      <c r="J3655" s="6" t="s">
        <v>228</v>
      </c>
      <c r="K3655" s="7">
        <v>43612</v>
      </c>
      <c r="L3655" s="8">
        <v>0.40208333333333335</v>
      </c>
      <c r="M3655" s="6" t="s">
        <v>229</v>
      </c>
      <c r="N3655" s="14" t="s">
        <v>21</v>
      </c>
      <c r="O3655" s="6" t="s">
        <v>22</v>
      </c>
    </row>
    <row r="3656" spans="1:15" hidden="1">
      <c r="A3656" s="6" t="s">
        <v>15</v>
      </c>
      <c r="B3656" s="6" t="str">
        <f>"FES1162691771"</f>
        <v>FES1162691771</v>
      </c>
      <c r="C3656" s="7">
        <v>43609</v>
      </c>
      <c r="D3656" s="6">
        <v>1</v>
      </c>
      <c r="E3656" s="6">
        <v>21706890098</v>
      </c>
      <c r="F3656" s="6" t="s">
        <v>16</v>
      </c>
      <c r="G3656" s="6" t="s">
        <v>17</v>
      </c>
      <c r="H3656" s="6" t="s">
        <v>132</v>
      </c>
      <c r="I3656" s="6" t="s">
        <v>3229</v>
      </c>
      <c r="J3656" s="6" t="s">
        <v>4208</v>
      </c>
      <c r="K3656" s="7">
        <v>43612</v>
      </c>
      <c r="L3656" s="8">
        <v>0.43958333333333338</v>
      </c>
      <c r="M3656" s="6" t="s">
        <v>4209</v>
      </c>
      <c r="N3656" s="14" t="s">
        <v>21</v>
      </c>
      <c r="O3656" s="6" t="s">
        <v>22</v>
      </c>
    </row>
    <row r="3657" spans="1:15" hidden="1">
      <c r="A3657" s="6" t="s">
        <v>15</v>
      </c>
      <c r="B3657" s="6" t="str">
        <f>"FES1162691740"</f>
        <v>FES1162691740</v>
      </c>
      <c r="C3657" s="7">
        <v>43609</v>
      </c>
      <c r="D3657" s="6">
        <v>1</v>
      </c>
      <c r="E3657" s="6">
        <v>2170600944</v>
      </c>
      <c r="F3657" s="6" t="s">
        <v>16</v>
      </c>
      <c r="G3657" s="6" t="s">
        <v>17</v>
      </c>
      <c r="H3657" s="6" t="s">
        <v>141</v>
      </c>
      <c r="I3657" s="6" t="s">
        <v>142</v>
      </c>
      <c r="J3657" s="6" t="s">
        <v>2719</v>
      </c>
      <c r="K3657" s="7">
        <v>43612</v>
      </c>
      <c r="L3657" s="8">
        <v>0.37986111111111115</v>
      </c>
      <c r="M3657" s="6" t="s">
        <v>311</v>
      </c>
      <c r="N3657" s="14" t="s">
        <v>21</v>
      </c>
      <c r="O3657" s="6" t="s">
        <v>22</v>
      </c>
    </row>
    <row r="3658" spans="1:15" hidden="1">
      <c r="A3658" s="6" t="s">
        <v>15</v>
      </c>
      <c r="B3658" s="6" t="str">
        <f>"FES1162691767"</f>
        <v>FES1162691767</v>
      </c>
      <c r="C3658" s="7">
        <v>43609</v>
      </c>
      <c r="D3658" s="6">
        <v>1</v>
      </c>
      <c r="E3658" s="6">
        <v>2170690095</v>
      </c>
      <c r="F3658" s="6" t="s">
        <v>16</v>
      </c>
      <c r="G3658" s="6" t="s">
        <v>17</v>
      </c>
      <c r="H3658" s="6" t="s">
        <v>141</v>
      </c>
      <c r="I3658" s="6" t="s">
        <v>185</v>
      </c>
      <c r="J3658" s="6" t="s">
        <v>353</v>
      </c>
      <c r="K3658" s="7">
        <v>43612</v>
      </c>
      <c r="L3658" s="8">
        <v>0.4375</v>
      </c>
      <c r="M3658" s="6" t="s">
        <v>4212</v>
      </c>
      <c r="N3658" s="14" t="s">
        <v>21</v>
      </c>
      <c r="O3658" s="6" t="s">
        <v>22</v>
      </c>
    </row>
    <row r="3659" spans="1:15" hidden="1">
      <c r="A3659" s="6" t="s">
        <v>15</v>
      </c>
      <c r="B3659" s="6" t="str">
        <f>"FES1162691803"</f>
        <v>FES1162691803</v>
      </c>
      <c r="C3659" s="7">
        <v>43609</v>
      </c>
      <c r="D3659" s="6">
        <v>1</v>
      </c>
      <c r="E3659" s="6">
        <v>2170690126</v>
      </c>
      <c r="F3659" s="6" t="s">
        <v>16</v>
      </c>
      <c r="G3659" s="6" t="s">
        <v>17</v>
      </c>
      <c r="H3659" s="6" t="s">
        <v>141</v>
      </c>
      <c r="I3659" s="6" t="s">
        <v>142</v>
      </c>
      <c r="J3659" s="6" t="s">
        <v>213</v>
      </c>
      <c r="K3659" s="7">
        <v>43612</v>
      </c>
      <c r="L3659" s="8">
        <v>0.36249999999999999</v>
      </c>
      <c r="M3659" s="6" t="s">
        <v>214</v>
      </c>
      <c r="N3659" s="14" t="s">
        <v>21</v>
      </c>
      <c r="O3659" s="6" t="s">
        <v>22</v>
      </c>
    </row>
    <row r="3660" spans="1:15" hidden="1">
      <c r="A3660" s="6" t="s">
        <v>15</v>
      </c>
      <c r="B3660" s="6" t="str">
        <f>"FES1162691750"</f>
        <v>FES1162691750</v>
      </c>
      <c r="C3660" s="7">
        <v>43609</v>
      </c>
      <c r="D3660" s="6">
        <v>1</v>
      </c>
      <c r="E3660" s="6">
        <v>2170690064</v>
      </c>
      <c r="F3660" s="6" t="s">
        <v>16</v>
      </c>
      <c r="G3660" s="6" t="s">
        <v>17</v>
      </c>
      <c r="H3660" s="6" t="s">
        <v>32</v>
      </c>
      <c r="I3660" s="6" t="s">
        <v>33</v>
      </c>
      <c r="J3660" s="6" t="s">
        <v>357</v>
      </c>
      <c r="K3660" s="7">
        <v>43612</v>
      </c>
      <c r="L3660" s="8">
        <v>0.42708333333333331</v>
      </c>
      <c r="M3660" s="6" t="s">
        <v>1051</v>
      </c>
      <c r="N3660" s="14" t="s">
        <v>21</v>
      </c>
      <c r="O3660" s="6" t="s">
        <v>22</v>
      </c>
    </row>
    <row r="3661" spans="1:15" hidden="1">
      <c r="A3661" s="6" t="s">
        <v>15</v>
      </c>
      <c r="B3661" s="6" t="str">
        <f>"FES1162691785"</f>
        <v>FES1162691785</v>
      </c>
      <c r="C3661" s="7">
        <v>43609</v>
      </c>
      <c r="D3661" s="6">
        <v>1</v>
      </c>
      <c r="E3661" s="6">
        <v>2170690112</v>
      </c>
      <c r="F3661" s="6" t="s">
        <v>16</v>
      </c>
      <c r="G3661" s="6" t="s">
        <v>17</v>
      </c>
      <c r="H3661" s="6" t="s">
        <v>32</v>
      </c>
      <c r="I3661" s="6" t="s">
        <v>33</v>
      </c>
      <c r="J3661" s="6" t="s">
        <v>365</v>
      </c>
      <c r="K3661" s="7">
        <v>43612</v>
      </c>
      <c r="L3661" s="8">
        <v>0.38541666666666669</v>
      </c>
      <c r="M3661" s="6" t="s">
        <v>1349</v>
      </c>
      <c r="N3661" s="14" t="s">
        <v>21</v>
      </c>
      <c r="O3661" s="6" t="s">
        <v>22</v>
      </c>
    </row>
    <row r="3662" spans="1:15" hidden="1">
      <c r="A3662" s="6" t="s">
        <v>15</v>
      </c>
      <c r="B3662" s="6" t="str">
        <f>"FES1162691804"</f>
        <v>FES1162691804</v>
      </c>
      <c r="C3662" s="7">
        <v>43609</v>
      </c>
      <c r="D3662" s="6">
        <v>1</v>
      </c>
      <c r="E3662" s="6">
        <v>2170690128</v>
      </c>
      <c r="F3662" s="6" t="s">
        <v>16</v>
      </c>
      <c r="G3662" s="6" t="s">
        <v>17</v>
      </c>
      <c r="H3662" s="6" t="s">
        <v>141</v>
      </c>
      <c r="I3662" s="6" t="s">
        <v>142</v>
      </c>
      <c r="J3662" s="6" t="s">
        <v>213</v>
      </c>
      <c r="K3662" s="7">
        <v>43612</v>
      </c>
      <c r="L3662" s="8">
        <v>0.36249999999999999</v>
      </c>
      <c r="M3662" s="6" t="s">
        <v>214</v>
      </c>
      <c r="N3662" s="14" t="s">
        <v>21</v>
      </c>
      <c r="O3662" s="6" t="s">
        <v>22</v>
      </c>
    </row>
    <row r="3663" spans="1:15" hidden="1">
      <c r="A3663" s="6" t="s">
        <v>15</v>
      </c>
      <c r="B3663" s="6" t="str">
        <f>"FES1162691757"</f>
        <v>FES1162691757</v>
      </c>
      <c r="C3663" s="7">
        <v>43609</v>
      </c>
      <c r="D3663" s="6">
        <v>1</v>
      </c>
      <c r="E3663" s="6">
        <v>2170690075</v>
      </c>
      <c r="F3663" s="6" t="s">
        <v>16</v>
      </c>
      <c r="G3663" s="6" t="s">
        <v>17</v>
      </c>
      <c r="H3663" s="6" t="s">
        <v>32</v>
      </c>
      <c r="I3663" s="6" t="s">
        <v>33</v>
      </c>
      <c r="J3663" s="6" t="s">
        <v>786</v>
      </c>
      <c r="K3663" s="7">
        <v>43612</v>
      </c>
      <c r="L3663" s="8">
        <v>0.375</v>
      </c>
      <c r="M3663" s="6" t="s">
        <v>1541</v>
      </c>
      <c r="N3663" s="14" t="s">
        <v>21</v>
      </c>
      <c r="O3663" s="6" t="s">
        <v>22</v>
      </c>
    </row>
    <row r="3664" spans="1:15">
      <c r="A3664" s="6" t="s">
        <v>15</v>
      </c>
      <c r="B3664" s="6" t="str">
        <f>"FES1162691761"</f>
        <v>FES1162691761</v>
      </c>
      <c r="C3664" s="7">
        <v>43609</v>
      </c>
      <c r="D3664" s="6">
        <v>1</v>
      </c>
      <c r="E3664" s="6">
        <v>2170690084</v>
      </c>
      <c r="F3664" s="6" t="s">
        <v>16</v>
      </c>
      <c r="G3664" s="6" t="s">
        <v>17</v>
      </c>
      <c r="H3664" s="6" t="s">
        <v>17</v>
      </c>
      <c r="I3664" s="6" t="s">
        <v>103</v>
      </c>
      <c r="J3664" s="6" t="s">
        <v>4326</v>
      </c>
      <c r="K3664" s="7">
        <v>43612</v>
      </c>
      <c r="L3664" s="8">
        <v>0.33333333333333331</v>
      </c>
      <c r="M3664" s="6" t="s">
        <v>3353</v>
      </c>
      <c r="N3664" s="14" t="s">
        <v>21</v>
      </c>
      <c r="O3664" s="6" t="s">
        <v>22</v>
      </c>
    </row>
    <row r="3665" spans="1:15" hidden="1">
      <c r="A3665" s="6" t="s">
        <v>15</v>
      </c>
      <c r="B3665" s="6" t="str">
        <f>"FES1162691748"</f>
        <v>FES1162691748</v>
      </c>
      <c r="C3665" s="7">
        <v>43609</v>
      </c>
      <c r="D3665" s="6">
        <v>1</v>
      </c>
      <c r="E3665" s="6">
        <v>2170690060</v>
      </c>
      <c r="F3665" s="6" t="s">
        <v>16</v>
      </c>
      <c r="G3665" s="6" t="s">
        <v>17</v>
      </c>
      <c r="H3665" s="6" t="s">
        <v>300</v>
      </c>
      <c r="I3665" s="6" t="s">
        <v>301</v>
      </c>
      <c r="J3665" s="6" t="s">
        <v>4218</v>
      </c>
      <c r="K3665" s="7">
        <v>43612</v>
      </c>
      <c r="L3665" s="8">
        <v>0.35138888888888892</v>
      </c>
      <c r="M3665" s="6" t="s">
        <v>3156</v>
      </c>
      <c r="N3665" s="14" t="s">
        <v>21</v>
      </c>
      <c r="O3665" s="6" t="s">
        <v>22</v>
      </c>
    </row>
    <row r="3666" spans="1:15">
      <c r="A3666" s="6" t="s">
        <v>15</v>
      </c>
      <c r="B3666" s="6" t="str">
        <f>"FES1162691739"</f>
        <v>FES1162691739</v>
      </c>
      <c r="C3666" s="7">
        <v>43609</v>
      </c>
      <c r="D3666" s="6">
        <v>1</v>
      </c>
      <c r="E3666" s="6">
        <v>2170690042</v>
      </c>
      <c r="F3666" s="6" t="s">
        <v>16</v>
      </c>
      <c r="G3666" s="6" t="s">
        <v>17</v>
      </c>
      <c r="H3666" s="6" t="s">
        <v>17</v>
      </c>
      <c r="I3666" s="6" t="s">
        <v>414</v>
      </c>
      <c r="J3666" s="6" t="s">
        <v>1386</v>
      </c>
      <c r="K3666" s="7">
        <v>43612</v>
      </c>
      <c r="L3666" s="8">
        <v>0.33333333333333331</v>
      </c>
      <c r="M3666" s="6" t="s">
        <v>4336</v>
      </c>
      <c r="N3666" s="14" t="s">
        <v>21</v>
      </c>
      <c r="O3666" s="6" t="s">
        <v>22</v>
      </c>
    </row>
    <row r="3667" spans="1:15">
      <c r="A3667" s="6" t="s">
        <v>15</v>
      </c>
      <c r="B3667" s="6" t="str">
        <f>"FES1162691789"</f>
        <v>FES1162691789</v>
      </c>
      <c r="C3667" s="7">
        <v>43609</v>
      </c>
      <c r="D3667" s="6">
        <v>1</v>
      </c>
      <c r="E3667" s="6">
        <v>217069114</v>
      </c>
      <c r="F3667" s="6" t="s">
        <v>16</v>
      </c>
      <c r="G3667" s="6" t="s">
        <v>17</v>
      </c>
      <c r="H3667" s="6" t="s">
        <v>17</v>
      </c>
      <c r="I3667" s="6" t="s">
        <v>414</v>
      </c>
      <c r="J3667" s="6" t="s">
        <v>3335</v>
      </c>
      <c r="K3667" s="7">
        <v>43612</v>
      </c>
      <c r="L3667" s="8">
        <v>0.33333333333333331</v>
      </c>
      <c r="M3667" s="6" t="s">
        <v>3336</v>
      </c>
      <c r="N3667" s="14" t="s">
        <v>21</v>
      </c>
      <c r="O3667" s="6" t="s">
        <v>22</v>
      </c>
    </row>
    <row r="3668" spans="1:15" hidden="1">
      <c r="A3668" s="6" t="s">
        <v>15</v>
      </c>
      <c r="B3668" s="6" t="str">
        <f>"FES1162691737"</f>
        <v>FES1162691737</v>
      </c>
      <c r="C3668" s="7">
        <v>43609</v>
      </c>
      <c r="D3668" s="6">
        <v>1</v>
      </c>
      <c r="E3668" s="6">
        <v>2170690027</v>
      </c>
      <c r="F3668" s="6" t="s">
        <v>16</v>
      </c>
      <c r="G3668" s="6" t="s">
        <v>17</v>
      </c>
      <c r="H3668" s="6" t="s">
        <v>141</v>
      </c>
      <c r="I3668" s="6" t="s">
        <v>142</v>
      </c>
      <c r="J3668" s="6" t="s">
        <v>4025</v>
      </c>
      <c r="K3668" s="7">
        <v>43612</v>
      </c>
      <c r="L3668" s="8">
        <v>0.38194444444444442</v>
      </c>
      <c r="M3668" s="6" t="s">
        <v>4026</v>
      </c>
      <c r="N3668" s="14" t="s">
        <v>21</v>
      </c>
      <c r="O3668" s="6" t="s">
        <v>22</v>
      </c>
    </row>
    <row r="3669" spans="1:15" hidden="1">
      <c r="A3669" s="6" t="s">
        <v>15</v>
      </c>
      <c r="B3669" s="6" t="str">
        <f>"FES1162691792"</f>
        <v>FES1162691792</v>
      </c>
      <c r="C3669" s="7">
        <v>43609</v>
      </c>
      <c r="D3669" s="6">
        <v>1</v>
      </c>
      <c r="E3669" s="6">
        <v>2170690117</v>
      </c>
      <c r="F3669" s="6" t="s">
        <v>16</v>
      </c>
      <c r="G3669" s="6" t="s">
        <v>17</v>
      </c>
      <c r="H3669" s="6" t="s">
        <v>525</v>
      </c>
      <c r="I3669" s="6" t="s">
        <v>3779</v>
      </c>
      <c r="J3669" s="6" t="s">
        <v>4219</v>
      </c>
      <c r="K3669" s="7">
        <v>43612</v>
      </c>
      <c r="L3669" s="8">
        <v>0.39861111111111108</v>
      </c>
      <c r="M3669" s="6" t="s">
        <v>4220</v>
      </c>
      <c r="N3669" s="14" t="s">
        <v>21</v>
      </c>
      <c r="O3669" s="6" t="s">
        <v>22</v>
      </c>
    </row>
    <row r="3670" spans="1:15">
      <c r="A3670" s="6" t="s">
        <v>15</v>
      </c>
      <c r="B3670" s="6" t="str">
        <f>"FES1162691749"</f>
        <v>FES1162691749</v>
      </c>
      <c r="C3670" s="7">
        <v>43609</v>
      </c>
      <c r="D3670" s="6">
        <v>1</v>
      </c>
      <c r="E3670" s="6">
        <v>2170690061</v>
      </c>
      <c r="F3670" s="6" t="s">
        <v>16</v>
      </c>
      <c r="G3670" s="6" t="s">
        <v>17</v>
      </c>
      <c r="H3670" s="6" t="s">
        <v>17</v>
      </c>
      <c r="I3670" s="6" t="s">
        <v>18</v>
      </c>
      <c r="J3670" s="6" t="s">
        <v>19</v>
      </c>
      <c r="K3670" s="7">
        <v>43612</v>
      </c>
      <c r="L3670" s="8">
        <v>0.41666666666666669</v>
      </c>
      <c r="M3670" s="6" t="s">
        <v>1327</v>
      </c>
      <c r="N3670" s="14" t="s">
        <v>21</v>
      </c>
      <c r="O3670" s="6" t="s">
        <v>22</v>
      </c>
    </row>
    <row r="3671" spans="1:15" hidden="1">
      <c r="A3671" s="6" t="s">
        <v>15</v>
      </c>
      <c r="B3671" s="6" t="str">
        <f>"FES1162691717"</f>
        <v>FES1162691717</v>
      </c>
      <c r="C3671" s="7">
        <v>43609</v>
      </c>
      <c r="D3671" s="6">
        <v>1</v>
      </c>
      <c r="E3671" s="6">
        <v>2170690034</v>
      </c>
      <c r="F3671" s="6" t="s">
        <v>16</v>
      </c>
      <c r="G3671" s="6" t="s">
        <v>17</v>
      </c>
      <c r="H3671" s="6" t="s">
        <v>32</v>
      </c>
      <c r="I3671" s="6" t="s">
        <v>33</v>
      </c>
      <c r="J3671" s="6" t="s">
        <v>2432</v>
      </c>
      <c r="K3671" s="7">
        <v>43612</v>
      </c>
      <c r="L3671" s="8">
        <v>0.38194444444444442</v>
      </c>
      <c r="M3671" s="6" t="s">
        <v>2433</v>
      </c>
      <c r="N3671" s="14" t="s">
        <v>21</v>
      </c>
      <c r="O3671" s="6" t="s">
        <v>22</v>
      </c>
    </row>
    <row r="3672" spans="1:15" hidden="1">
      <c r="A3672" s="6" t="s">
        <v>15</v>
      </c>
      <c r="B3672" s="6" t="str">
        <f>"FES1162691746"</f>
        <v>FES1162691746</v>
      </c>
      <c r="C3672" s="7">
        <v>43609</v>
      </c>
      <c r="D3672" s="6">
        <v>2</v>
      </c>
      <c r="E3672" s="6">
        <v>2170690058</v>
      </c>
      <c r="F3672" s="6" t="s">
        <v>16</v>
      </c>
      <c r="G3672" s="6" t="s">
        <v>17</v>
      </c>
      <c r="H3672" s="6" t="s">
        <v>43</v>
      </c>
      <c r="I3672" s="6" t="s">
        <v>44</v>
      </c>
      <c r="J3672" s="6" t="s">
        <v>48</v>
      </c>
      <c r="K3672" s="7">
        <v>43612</v>
      </c>
      <c r="L3672" s="8">
        <v>0.31805555555555554</v>
      </c>
      <c r="M3672" s="6" t="s">
        <v>1650</v>
      </c>
      <c r="N3672" s="14" t="s">
        <v>21</v>
      </c>
      <c r="O3672" s="6" t="s">
        <v>22</v>
      </c>
    </row>
    <row r="3673" spans="1:15" hidden="1">
      <c r="A3673" s="6" t="s">
        <v>15</v>
      </c>
      <c r="B3673" s="6" t="str">
        <f>"FES1162691705"</f>
        <v>FES1162691705</v>
      </c>
      <c r="C3673" s="7">
        <v>43609</v>
      </c>
      <c r="D3673" s="6">
        <v>1</v>
      </c>
      <c r="E3673" s="6">
        <v>2170690025</v>
      </c>
      <c r="F3673" s="6" t="s">
        <v>16</v>
      </c>
      <c r="G3673" s="6" t="s">
        <v>17</v>
      </c>
      <c r="H3673" s="6" t="s">
        <v>32</v>
      </c>
      <c r="I3673" s="6" t="s">
        <v>33</v>
      </c>
      <c r="J3673" s="6" t="s">
        <v>843</v>
      </c>
      <c r="K3673" s="7">
        <v>43612</v>
      </c>
      <c r="L3673" s="8">
        <v>0.36458333333333331</v>
      </c>
      <c r="M3673" s="6" t="s">
        <v>844</v>
      </c>
      <c r="N3673" s="14" t="s">
        <v>21</v>
      </c>
      <c r="O3673" s="6" t="s">
        <v>22</v>
      </c>
    </row>
    <row r="3674" spans="1:15" hidden="1">
      <c r="A3674" s="6" t="s">
        <v>15</v>
      </c>
      <c r="B3674" s="6" t="str">
        <f>"FES1162691795"</f>
        <v>FES1162691795</v>
      </c>
      <c r="C3674" s="7">
        <v>43609</v>
      </c>
      <c r="D3674" s="6">
        <v>1</v>
      </c>
      <c r="E3674" s="6">
        <v>2170689522</v>
      </c>
      <c r="F3674" s="6" t="s">
        <v>16</v>
      </c>
      <c r="G3674" s="6" t="s">
        <v>17</v>
      </c>
      <c r="H3674" s="6" t="s">
        <v>32</v>
      </c>
      <c r="I3674" s="6" t="s">
        <v>33</v>
      </c>
      <c r="J3674" s="6" t="s">
        <v>34</v>
      </c>
      <c r="K3674" s="7">
        <v>43612</v>
      </c>
      <c r="L3674" s="8">
        <v>0.34375</v>
      </c>
      <c r="M3674" s="6" t="s">
        <v>35</v>
      </c>
      <c r="N3674" s="14" t="s">
        <v>21</v>
      </c>
      <c r="O3674" s="6" t="s">
        <v>22</v>
      </c>
    </row>
    <row r="3675" spans="1:15" hidden="1">
      <c r="A3675" s="6" t="s">
        <v>15</v>
      </c>
      <c r="B3675" s="6" t="str">
        <f>"FES1162691796"</f>
        <v>FES1162691796</v>
      </c>
      <c r="C3675" s="7">
        <v>43609</v>
      </c>
      <c r="D3675" s="6">
        <v>1</v>
      </c>
      <c r="E3675" s="6">
        <v>2170689523</v>
      </c>
      <c r="F3675" s="6" t="s">
        <v>16</v>
      </c>
      <c r="G3675" s="6" t="s">
        <v>17</v>
      </c>
      <c r="H3675" s="6" t="s">
        <v>32</v>
      </c>
      <c r="I3675" s="6" t="s">
        <v>33</v>
      </c>
      <c r="J3675" s="6" t="s">
        <v>34</v>
      </c>
      <c r="K3675" s="7">
        <v>43612</v>
      </c>
      <c r="L3675" s="8">
        <v>0.34375</v>
      </c>
      <c r="M3675" s="6" t="s">
        <v>35</v>
      </c>
      <c r="N3675" s="14" t="s">
        <v>21</v>
      </c>
      <c r="O3675" s="6" t="s">
        <v>22</v>
      </c>
    </row>
    <row r="3676" spans="1:15">
      <c r="A3676" s="17" t="s">
        <v>15</v>
      </c>
      <c r="B3676" s="17" t="str">
        <f>"FES1162691759"</f>
        <v>FES1162691759</v>
      </c>
      <c r="C3676" s="18">
        <v>43609</v>
      </c>
      <c r="D3676" s="17">
        <v>1</v>
      </c>
      <c r="E3676" s="17">
        <v>2170690081</v>
      </c>
      <c r="F3676" s="17" t="s">
        <v>16</v>
      </c>
      <c r="G3676" s="17" t="s">
        <v>17</v>
      </c>
      <c r="H3676" s="17" t="s">
        <v>17</v>
      </c>
      <c r="I3676" s="17" t="s">
        <v>64</v>
      </c>
      <c r="J3676" s="17" t="s">
        <v>2778</v>
      </c>
      <c r="K3676" s="18">
        <v>43612</v>
      </c>
      <c r="L3676" s="19">
        <v>0.34375</v>
      </c>
      <c r="M3676" s="17" t="s">
        <v>4337</v>
      </c>
      <c r="N3676" s="26" t="s">
        <v>21</v>
      </c>
      <c r="O3676" s="17" t="s">
        <v>4338</v>
      </c>
    </row>
    <row r="3677" spans="1:15" hidden="1">
      <c r="A3677" s="6" t="s">
        <v>15</v>
      </c>
      <c r="B3677" s="6" t="str">
        <f>"FES1162691678"</f>
        <v>FES1162691678</v>
      </c>
      <c r="C3677" s="7">
        <v>43609</v>
      </c>
      <c r="D3677" s="6">
        <v>1</v>
      </c>
      <c r="E3677" s="6">
        <v>2170689860</v>
      </c>
      <c r="F3677" s="6" t="s">
        <v>16</v>
      </c>
      <c r="G3677" s="6" t="s">
        <v>17</v>
      </c>
      <c r="H3677" s="6" t="s">
        <v>132</v>
      </c>
      <c r="I3677" s="6" t="s">
        <v>133</v>
      </c>
      <c r="J3677" s="6" t="s">
        <v>189</v>
      </c>
      <c r="K3677" s="7">
        <v>43612</v>
      </c>
      <c r="L3677" s="8">
        <v>0.40625</v>
      </c>
      <c r="M3677" s="6" t="s">
        <v>585</v>
      </c>
      <c r="N3677" s="14" t="s">
        <v>21</v>
      </c>
      <c r="O3677" s="6" t="s">
        <v>22</v>
      </c>
    </row>
    <row r="3678" spans="1:15" hidden="1">
      <c r="A3678" s="6" t="s">
        <v>15</v>
      </c>
      <c r="B3678" s="6" t="str">
        <f>"FES1162691730"</f>
        <v>FES1162691730</v>
      </c>
      <c r="C3678" s="7">
        <v>43609</v>
      </c>
      <c r="D3678" s="6">
        <v>1</v>
      </c>
      <c r="E3678" s="6">
        <v>2170688461</v>
      </c>
      <c r="F3678" s="6" t="s">
        <v>16</v>
      </c>
      <c r="G3678" s="6" t="s">
        <v>17</v>
      </c>
      <c r="H3678" s="6" t="s">
        <v>132</v>
      </c>
      <c r="I3678" s="6" t="s">
        <v>133</v>
      </c>
      <c r="J3678" s="6" t="s">
        <v>189</v>
      </c>
      <c r="K3678" s="7">
        <v>43612</v>
      </c>
      <c r="L3678" s="8">
        <v>0.40625</v>
      </c>
      <c r="M3678" s="6" t="s">
        <v>585</v>
      </c>
      <c r="N3678" s="14" t="s">
        <v>21</v>
      </c>
      <c r="O3678" s="6" t="s">
        <v>22</v>
      </c>
    </row>
    <row r="3679" spans="1:15">
      <c r="A3679" s="6" t="s">
        <v>15</v>
      </c>
      <c r="B3679" s="6" t="str">
        <f>"FES1162691659"</f>
        <v>FES1162691659</v>
      </c>
      <c r="C3679" s="7">
        <v>43609</v>
      </c>
      <c r="D3679" s="6">
        <v>1</v>
      </c>
      <c r="E3679" s="6">
        <v>2170686841</v>
      </c>
      <c r="F3679" s="6" t="s">
        <v>16</v>
      </c>
      <c r="G3679" s="6" t="s">
        <v>17</v>
      </c>
      <c r="H3679" s="6" t="s">
        <v>17</v>
      </c>
      <c r="I3679" s="6" t="s">
        <v>148</v>
      </c>
      <c r="J3679" s="6" t="s">
        <v>153</v>
      </c>
      <c r="K3679" s="7">
        <v>43612</v>
      </c>
      <c r="L3679" s="8">
        <v>0.39583333333333331</v>
      </c>
      <c r="M3679" s="6" t="s">
        <v>712</v>
      </c>
      <c r="N3679" s="14" t="s">
        <v>21</v>
      </c>
      <c r="O3679" s="6" t="s">
        <v>22</v>
      </c>
    </row>
    <row r="3680" spans="1:15">
      <c r="A3680" s="6" t="s">
        <v>15</v>
      </c>
      <c r="B3680" s="6" t="str">
        <f>"FES1162691709"</f>
        <v>FES1162691709</v>
      </c>
      <c r="C3680" s="7">
        <v>43609</v>
      </c>
      <c r="D3680" s="6">
        <v>1</v>
      </c>
      <c r="E3680" s="6">
        <v>2170690031</v>
      </c>
      <c r="F3680" s="6" t="s">
        <v>16</v>
      </c>
      <c r="G3680" s="6" t="s">
        <v>17</v>
      </c>
      <c r="H3680" s="6" t="s">
        <v>17</v>
      </c>
      <c r="I3680" s="6" t="s">
        <v>103</v>
      </c>
      <c r="J3680" s="6" t="s">
        <v>776</v>
      </c>
      <c r="K3680" s="7">
        <v>43612</v>
      </c>
      <c r="L3680" s="8">
        <v>0.33333333333333331</v>
      </c>
      <c r="M3680" s="6" t="s">
        <v>3719</v>
      </c>
      <c r="N3680" s="14" t="s">
        <v>21</v>
      </c>
      <c r="O3680" s="6" t="s">
        <v>22</v>
      </c>
    </row>
    <row r="3681" spans="1:15">
      <c r="A3681" s="6" t="s">
        <v>15</v>
      </c>
      <c r="B3681" s="6" t="str">
        <f>"FES1162691784"</f>
        <v>FES1162691784</v>
      </c>
      <c r="C3681" s="7">
        <v>43609</v>
      </c>
      <c r="D3681" s="6">
        <v>1</v>
      </c>
      <c r="E3681" s="6">
        <v>2170690111</v>
      </c>
      <c r="F3681" s="6" t="s">
        <v>16</v>
      </c>
      <c r="G3681" s="6" t="s">
        <v>17</v>
      </c>
      <c r="H3681" s="6" t="s">
        <v>17</v>
      </c>
      <c r="I3681" s="6" t="s">
        <v>23</v>
      </c>
      <c r="J3681" s="6" t="s">
        <v>933</v>
      </c>
      <c r="K3681" s="7">
        <v>43612</v>
      </c>
      <c r="L3681" s="8">
        <v>0.30763888888888891</v>
      </c>
      <c r="M3681" s="6" t="s">
        <v>4339</v>
      </c>
      <c r="N3681" s="14" t="s">
        <v>21</v>
      </c>
      <c r="O3681" s="6" t="s">
        <v>22</v>
      </c>
    </row>
    <row r="3682" spans="1:15">
      <c r="A3682" s="6" t="s">
        <v>15</v>
      </c>
      <c r="B3682" s="6" t="str">
        <f>"FES1162691658"</f>
        <v>FES1162691658</v>
      </c>
      <c r="C3682" s="7">
        <v>43609</v>
      </c>
      <c r="D3682" s="6">
        <v>1</v>
      </c>
      <c r="E3682" s="6">
        <v>2170686941</v>
      </c>
      <c r="F3682" s="6" t="s">
        <v>16</v>
      </c>
      <c r="G3682" s="6" t="s">
        <v>17</v>
      </c>
      <c r="H3682" s="6" t="s">
        <v>17</v>
      </c>
      <c r="I3682" s="6" t="s">
        <v>148</v>
      </c>
      <c r="J3682" s="6" t="s">
        <v>153</v>
      </c>
      <c r="K3682" s="7">
        <v>43612</v>
      </c>
      <c r="L3682" s="8">
        <v>0.3888888888888889</v>
      </c>
      <c r="M3682" s="6" t="s">
        <v>712</v>
      </c>
      <c r="N3682" s="14" t="s">
        <v>21</v>
      </c>
      <c r="O3682" s="6" t="s">
        <v>22</v>
      </c>
    </row>
    <row r="3683" spans="1:15" hidden="1">
      <c r="A3683" s="6" t="s">
        <v>15</v>
      </c>
      <c r="B3683" s="6" t="str">
        <f>"FES1162691763"</f>
        <v>FES1162691763</v>
      </c>
      <c r="C3683" s="7">
        <v>43609</v>
      </c>
      <c r="D3683" s="6">
        <v>1</v>
      </c>
      <c r="E3683" s="6">
        <v>2170689470</v>
      </c>
      <c r="F3683" s="6" t="s">
        <v>16</v>
      </c>
      <c r="G3683" s="6" t="s">
        <v>17</v>
      </c>
      <c r="H3683" s="6" t="s">
        <v>43</v>
      </c>
      <c r="I3683" s="6" t="s">
        <v>738</v>
      </c>
      <c r="J3683" s="6" t="s">
        <v>739</v>
      </c>
      <c r="K3683" s="7">
        <v>43612</v>
      </c>
      <c r="L3683" s="8">
        <v>0.3972222222222222</v>
      </c>
      <c r="M3683" s="6" t="s">
        <v>740</v>
      </c>
      <c r="N3683" s="14" t="s">
        <v>21</v>
      </c>
      <c r="O3683" s="6" t="s">
        <v>22</v>
      </c>
    </row>
    <row r="3684" spans="1:15" hidden="1">
      <c r="A3684" s="6" t="s">
        <v>15</v>
      </c>
      <c r="B3684" s="6" t="str">
        <f>"FES1162691791"</f>
        <v>FES1162691791</v>
      </c>
      <c r="C3684" s="7">
        <v>43609</v>
      </c>
      <c r="D3684" s="6">
        <v>1</v>
      </c>
      <c r="E3684" s="6">
        <v>2170690116</v>
      </c>
      <c r="F3684" s="6" t="s">
        <v>16</v>
      </c>
      <c r="G3684" s="6" t="s">
        <v>17</v>
      </c>
      <c r="H3684" s="6" t="s">
        <v>43</v>
      </c>
      <c r="I3684" s="6" t="s">
        <v>44</v>
      </c>
      <c r="J3684" s="6" t="s">
        <v>48</v>
      </c>
      <c r="K3684" s="7">
        <v>43612</v>
      </c>
      <c r="L3684" s="8">
        <v>0.31805555555555554</v>
      </c>
      <c r="M3684" s="6" t="s">
        <v>1650</v>
      </c>
      <c r="N3684" s="14" t="s">
        <v>21</v>
      </c>
      <c r="O3684" s="6" t="s">
        <v>22</v>
      </c>
    </row>
    <row r="3685" spans="1:15">
      <c r="A3685" s="6" t="s">
        <v>15</v>
      </c>
      <c r="B3685" s="6" t="str">
        <f>"FES1162691788"</f>
        <v>FES1162691788</v>
      </c>
      <c r="C3685" s="7">
        <v>43609</v>
      </c>
      <c r="D3685" s="6">
        <v>1</v>
      </c>
      <c r="E3685" s="6">
        <v>2170690109</v>
      </c>
      <c r="F3685" s="6" t="s">
        <v>16</v>
      </c>
      <c r="G3685" s="6" t="s">
        <v>17</v>
      </c>
      <c r="H3685" s="6" t="s">
        <v>17</v>
      </c>
      <c r="I3685" s="6" t="s">
        <v>23</v>
      </c>
      <c r="J3685" s="6" t="s">
        <v>483</v>
      </c>
      <c r="K3685" s="7">
        <v>43612</v>
      </c>
      <c r="L3685" s="8">
        <v>0.33749999999999997</v>
      </c>
      <c r="M3685" s="6" t="s">
        <v>1016</v>
      </c>
      <c r="N3685" s="14" t="s">
        <v>21</v>
      </c>
      <c r="O3685" s="6" t="s">
        <v>22</v>
      </c>
    </row>
    <row r="3686" spans="1:15" hidden="1">
      <c r="A3686" s="6" t="s">
        <v>15</v>
      </c>
      <c r="B3686" s="6" t="str">
        <f>"FES1162691813"</f>
        <v>FES1162691813</v>
      </c>
      <c r="C3686" s="7">
        <v>43609</v>
      </c>
      <c r="D3686" s="6">
        <v>1</v>
      </c>
      <c r="E3686" s="6">
        <v>2170690149</v>
      </c>
      <c r="F3686" s="6" t="s">
        <v>16</v>
      </c>
      <c r="G3686" s="6" t="s">
        <v>17</v>
      </c>
      <c r="H3686" s="6" t="s">
        <v>290</v>
      </c>
      <c r="I3686" s="6" t="s">
        <v>291</v>
      </c>
      <c r="J3686" s="6" t="s">
        <v>609</v>
      </c>
      <c r="K3686" s="7">
        <v>43612</v>
      </c>
      <c r="L3686" s="8">
        <v>0.3923611111111111</v>
      </c>
      <c r="M3686" s="6" t="s">
        <v>4227</v>
      </c>
      <c r="N3686" s="14" t="s">
        <v>21</v>
      </c>
      <c r="O3686" s="6" t="s">
        <v>22</v>
      </c>
    </row>
    <row r="3687" spans="1:15" hidden="1">
      <c r="A3687" s="6" t="s">
        <v>15</v>
      </c>
      <c r="B3687" s="6" t="str">
        <f>"FES1162691834"</f>
        <v>FES1162691834</v>
      </c>
      <c r="C3687" s="7">
        <v>43609</v>
      </c>
      <c r="D3687" s="6">
        <v>1</v>
      </c>
      <c r="E3687" s="6">
        <v>2170690177</v>
      </c>
      <c r="F3687" s="6" t="s">
        <v>16</v>
      </c>
      <c r="G3687" s="6" t="s">
        <v>17</v>
      </c>
      <c r="H3687" s="6" t="s">
        <v>300</v>
      </c>
      <c r="I3687" s="6" t="s">
        <v>1553</v>
      </c>
      <c r="J3687" s="6" t="s">
        <v>4229</v>
      </c>
      <c r="K3687" s="7">
        <v>43612</v>
      </c>
      <c r="L3687" s="8">
        <v>0.43541666666666662</v>
      </c>
      <c r="M3687" s="6" t="s">
        <v>332</v>
      </c>
      <c r="N3687" s="14" t="s">
        <v>21</v>
      </c>
      <c r="O3687" s="6" t="s">
        <v>22</v>
      </c>
    </row>
    <row r="3688" spans="1:15" hidden="1">
      <c r="A3688" s="6" t="s">
        <v>15</v>
      </c>
      <c r="B3688" s="6" t="str">
        <f>"FES1162691782"</f>
        <v>FES1162691782</v>
      </c>
      <c r="C3688" s="7">
        <v>43609</v>
      </c>
      <c r="D3688" s="6">
        <v>1</v>
      </c>
      <c r="E3688" s="6">
        <v>2170690108</v>
      </c>
      <c r="F3688" s="6" t="s">
        <v>16</v>
      </c>
      <c r="G3688" s="6" t="s">
        <v>17</v>
      </c>
      <c r="H3688" s="6" t="s">
        <v>300</v>
      </c>
      <c r="I3688" s="6" t="s">
        <v>301</v>
      </c>
      <c r="J3688" s="6" t="s">
        <v>3781</v>
      </c>
      <c r="K3688" s="7">
        <v>43612</v>
      </c>
      <c r="L3688" s="8">
        <v>0.4236111111111111</v>
      </c>
      <c r="M3688" s="6" t="s">
        <v>1609</v>
      </c>
      <c r="N3688" s="14" t="s">
        <v>21</v>
      </c>
      <c r="O3688" s="6" t="s">
        <v>22</v>
      </c>
    </row>
    <row r="3689" spans="1:15" hidden="1">
      <c r="A3689" s="6" t="s">
        <v>15</v>
      </c>
      <c r="B3689" s="6" t="str">
        <f>"FES1162691781"</f>
        <v>FES1162691781</v>
      </c>
      <c r="C3689" s="7">
        <v>43609</v>
      </c>
      <c r="D3689" s="6">
        <v>1</v>
      </c>
      <c r="E3689" s="6">
        <v>2170690107</v>
      </c>
      <c r="F3689" s="6" t="s">
        <v>16</v>
      </c>
      <c r="G3689" s="6" t="s">
        <v>17</v>
      </c>
      <c r="H3689" s="6" t="s">
        <v>300</v>
      </c>
      <c r="I3689" s="6" t="s">
        <v>301</v>
      </c>
      <c r="J3689" s="6" t="s">
        <v>3781</v>
      </c>
      <c r="K3689" s="7">
        <v>43612</v>
      </c>
      <c r="L3689" s="8">
        <v>0.4236111111111111</v>
      </c>
      <c r="M3689" s="6" t="s">
        <v>1609</v>
      </c>
      <c r="N3689" s="14" t="s">
        <v>21</v>
      </c>
      <c r="O3689" s="6" t="s">
        <v>22</v>
      </c>
    </row>
    <row r="3690" spans="1:15">
      <c r="A3690" s="6" t="s">
        <v>15</v>
      </c>
      <c r="B3690" s="6" t="str">
        <f>"FES1162691843"</f>
        <v>FES1162691843</v>
      </c>
      <c r="C3690" s="7">
        <v>43609</v>
      </c>
      <c r="D3690" s="6">
        <v>1</v>
      </c>
      <c r="E3690" s="6">
        <v>2170690188</v>
      </c>
      <c r="F3690" s="6" t="s">
        <v>16</v>
      </c>
      <c r="G3690" s="6" t="s">
        <v>17</v>
      </c>
      <c r="H3690" s="6" t="s">
        <v>17</v>
      </c>
      <c r="I3690" s="6" t="s">
        <v>64</v>
      </c>
      <c r="J3690" s="6" t="s">
        <v>1390</v>
      </c>
      <c r="K3690" s="7">
        <v>43612</v>
      </c>
      <c r="L3690" s="8">
        <v>0.34861111111111115</v>
      </c>
      <c r="M3690" s="6" t="s">
        <v>1391</v>
      </c>
      <c r="N3690" s="14" t="s">
        <v>21</v>
      </c>
      <c r="O3690" s="6" t="s">
        <v>22</v>
      </c>
    </row>
    <row r="3691" spans="1:15" hidden="1">
      <c r="A3691" s="6" t="s">
        <v>15</v>
      </c>
      <c r="B3691" s="6" t="str">
        <f>"FES1162691842"</f>
        <v>FES1162691842</v>
      </c>
      <c r="C3691" s="7">
        <v>43609</v>
      </c>
      <c r="D3691" s="6">
        <v>1</v>
      </c>
      <c r="E3691" s="6">
        <v>2170690187</v>
      </c>
      <c r="F3691" s="6" t="s">
        <v>16</v>
      </c>
      <c r="G3691" s="6" t="s">
        <v>17</v>
      </c>
      <c r="H3691" s="6" t="s">
        <v>290</v>
      </c>
      <c r="I3691" s="6" t="s">
        <v>291</v>
      </c>
      <c r="J3691" s="6" t="s">
        <v>1744</v>
      </c>
      <c r="K3691" s="7">
        <v>43612</v>
      </c>
      <c r="L3691" s="8">
        <v>0.36180555555555555</v>
      </c>
      <c r="M3691" s="6" t="s">
        <v>1745</v>
      </c>
      <c r="N3691" s="14" t="s">
        <v>21</v>
      </c>
      <c r="O3691" s="6" t="s">
        <v>22</v>
      </c>
    </row>
    <row r="3692" spans="1:15" hidden="1">
      <c r="A3692" s="6" t="s">
        <v>15</v>
      </c>
      <c r="B3692" s="6" t="str">
        <f>"FES1162691812"</f>
        <v>FES1162691812</v>
      </c>
      <c r="C3692" s="7">
        <v>43609</v>
      </c>
      <c r="D3692" s="6">
        <v>1</v>
      </c>
      <c r="E3692" s="6">
        <v>2170690148</v>
      </c>
      <c r="F3692" s="6" t="s">
        <v>16</v>
      </c>
      <c r="G3692" s="6" t="s">
        <v>17</v>
      </c>
      <c r="H3692" s="6" t="s">
        <v>290</v>
      </c>
      <c r="I3692" s="6" t="s">
        <v>309</v>
      </c>
      <c r="J3692" s="6" t="s">
        <v>310</v>
      </c>
      <c r="K3692" s="7">
        <v>43612</v>
      </c>
      <c r="L3692" s="8">
        <v>0.43055555555555558</v>
      </c>
      <c r="M3692" s="6" t="s">
        <v>4233</v>
      </c>
      <c r="N3692" s="14" t="s">
        <v>21</v>
      </c>
      <c r="O3692" s="6" t="s">
        <v>22</v>
      </c>
    </row>
    <row r="3693" spans="1:15" hidden="1">
      <c r="A3693" s="6" t="s">
        <v>15</v>
      </c>
      <c r="B3693" s="6" t="str">
        <f>"FES1162691836"</f>
        <v>FES1162691836</v>
      </c>
      <c r="C3693" s="7">
        <v>43609</v>
      </c>
      <c r="D3693" s="6">
        <v>1</v>
      </c>
      <c r="E3693" s="6">
        <v>2170690180</v>
      </c>
      <c r="F3693" s="6" t="s">
        <v>16</v>
      </c>
      <c r="G3693" s="6" t="s">
        <v>17</v>
      </c>
      <c r="H3693" s="6" t="s">
        <v>141</v>
      </c>
      <c r="I3693" s="6" t="s">
        <v>433</v>
      </c>
      <c r="J3693" s="6" t="s">
        <v>1684</v>
      </c>
      <c r="K3693" s="7">
        <v>43612</v>
      </c>
      <c r="L3693" s="8">
        <v>0.37152777777777773</v>
      </c>
      <c r="M3693" s="6" t="s">
        <v>4235</v>
      </c>
      <c r="N3693" s="14" t="s">
        <v>21</v>
      </c>
      <c r="O3693" s="6" t="s">
        <v>22</v>
      </c>
    </row>
    <row r="3694" spans="1:15" hidden="1">
      <c r="A3694" s="6" t="s">
        <v>15</v>
      </c>
      <c r="B3694" s="6" t="str">
        <f>"FES1162691832"</f>
        <v>FES1162691832</v>
      </c>
      <c r="C3694" s="7">
        <v>43609</v>
      </c>
      <c r="D3694" s="6">
        <v>1</v>
      </c>
      <c r="E3694" s="6">
        <v>2170690179</v>
      </c>
      <c r="F3694" s="6" t="s">
        <v>16</v>
      </c>
      <c r="G3694" s="6" t="s">
        <v>17</v>
      </c>
      <c r="H3694" s="6" t="s">
        <v>132</v>
      </c>
      <c r="I3694" s="6" t="s">
        <v>133</v>
      </c>
      <c r="J3694" s="6" t="s">
        <v>189</v>
      </c>
      <c r="K3694" s="7">
        <v>43612</v>
      </c>
      <c r="L3694" s="8">
        <v>0.40625</v>
      </c>
      <c r="M3694" s="6" t="s">
        <v>585</v>
      </c>
      <c r="N3694" s="14" t="s">
        <v>21</v>
      </c>
      <c r="O3694" s="6" t="s">
        <v>22</v>
      </c>
    </row>
    <row r="3695" spans="1:15" hidden="1">
      <c r="A3695" s="6" t="s">
        <v>15</v>
      </c>
      <c r="B3695" s="6" t="str">
        <f>"FES1162691837"</f>
        <v>FES1162691837</v>
      </c>
      <c r="C3695" s="7">
        <v>43609</v>
      </c>
      <c r="D3695" s="6">
        <v>1</v>
      </c>
      <c r="E3695" s="6">
        <v>217090181</v>
      </c>
      <c r="F3695" s="6" t="s">
        <v>16</v>
      </c>
      <c r="G3695" s="6" t="s">
        <v>17</v>
      </c>
      <c r="H3695" s="6" t="s">
        <v>37</v>
      </c>
      <c r="I3695" s="6" t="s">
        <v>38</v>
      </c>
      <c r="J3695" s="6" t="s">
        <v>3639</v>
      </c>
      <c r="K3695" s="7">
        <v>43612</v>
      </c>
      <c r="L3695" s="8">
        <v>0.36805555555555558</v>
      </c>
      <c r="M3695" s="6" t="s">
        <v>88</v>
      </c>
      <c r="N3695" s="14" t="s">
        <v>21</v>
      </c>
      <c r="O3695" s="6" t="s">
        <v>22</v>
      </c>
    </row>
    <row r="3696" spans="1:15" hidden="1">
      <c r="A3696" s="6" t="s">
        <v>15</v>
      </c>
      <c r="B3696" s="6" t="str">
        <f>"FES1162691820"</f>
        <v>FES1162691820</v>
      </c>
      <c r="C3696" s="7">
        <v>43609</v>
      </c>
      <c r="D3696" s="6">
        <v>1</v>
      </c>
      <c r="E3696" s="6">
        <v>217090160</v>
      </c>
      <c r="F3696" s="6" t="s">
        <v>16</v>
      </c>
      <c r="G3696" s="6" t="s">
        <v>17</v>
      </c>
      <c r="H3696" s="6" t="s">
        <v>43</v>
      </c>
      <c r="I3696" s="6" t="s">
        <v>44</v>
      </c>
      <c r="J3696" s="6" t="s">
        <v>1284</v>
      </c>
      <c r="K3696" s="7">
        <v>43612</v>
      </c>
      <c r="L3696" s="8">
        <v>0.35069444444444442</v>
      </c>
      <c r="M3696" s="6" t="s">
        <v>3689</v>
      </c>
      <c r="N3696" s="14" t="s">
        <v>21</v>
      </c>
      <c r="O3696" s="6" t="s">
        <v>22</v>
      </c>
    </row>
    <row r="3697" spans="1:15" hidden="1">
      <c r="A3697" s="6" t="s">
        <v>15</v>
      </c>
      <c r="B3697" s="6" t="str">
        <f>"FES1162691845"</f>
        <v>FES1162691845</v>
      </c>
      <c r="C3697" s="7">
        <v>43609</v>
      </c>
      <c r="D3697" s="6">
        <v>1</v>
      </c>
      <c r="E3697" s="6">
        <v>217090190</v>
      </c>
      <c r="F3697" s="6" t="s">
        <v>16</v>
      </c>
      <c r="G3697" s="6" t="s">
        <v>17</v>
      </c>
      <c r="H3697" s="6" t="s">
        <v>290</v>
      </c>
      <c r="I3697" s="6" t="s">
        <v>291</v>
      </c>
      <c r="J3697" s="6" t="s">
        <v>4240</v>
      </c>
      <c r="K3697" s="7">
        <v>43613</v>
      </c>
      <c r="L3697" s="8">
        <v>0.39027777777777778</v>
      </c>
      <c r="M3697" s="6" t="s">
        <v>967</v>
      </c>
      <c r="N3697" s="14" t="s">
        <v>21</v>
      </c>
      <c r="O3697" s="6" t="s">
        <v>22</v>
      </c>
    </row>
    <row r="3698" spans="1:15" hidden="1">
      <c r="A3698" s="6" t="s">
        <v>15</v>
      </c>
      <c r="B3698" s="6" t="str">
        <f>"FES1162691841"</f>
        <v>FES1162691841</v>
      </c>
      <c r="C3698" s="7">
        <v>43609</v>
      </c>
      <c r="D3698" s="6">
        <v>1</v>
      </c>
      <c r="E3698" s="6">
        <v>2170690186</v>
      </c>
      <c r="F3698" s="6" t="s">
        <v>16</v>
      </c>
      <c r="G3698" s="6" t="s">
        <v>17</v>
      </c>
      <c r="H3698" s="6" t="s">
        <v>290</v>
      </c>
      <c r="I3698" s="6" t="s">
        <v>309</v>
      </c>
      <c r="J3698" s="6" t="s">
        <v>4242</v>
      </c>
      <c r="K3698" s="7">
        <v>43612</v>
      </c>
      <c r="L3698" s="8">
        <v>0.3576388888888889</v>
      </c>
      <c r="M3698" s="6" t="s">
        <v>4243</v>
      </c>
      <c r="N3698" s="14" t="s">
        <v>21</v>
      </c>
      <c r="O3698" s="6" t="s">
        <v>22</v>
      </c>
    </row>
    <row r="3699" spans="1:15">
      <c r="A3699" s="6" t="s">
        <v>15</v>
      </c>
      <c r="B3699" s="6" t="str">
        <f>"FES1162691844"</f>
        <v>FES1162691844</v>
      </c>
      <c r="C3699" s="7">
        <v>43609</v>
      </c>
      <c r="D3699" s="6">
        <v>1</v>
      </c>
      <c r="E3699" s="6">
        <v>2170690189</v>
      </c>
      <c r="F3699" s="6" t="s">
        <v>16</v>
      </c>
      <c r="G3699" s="6" t="s">
        <v>17</v>
      </c>
      <c r="H3699" s="6" t="s">
        <v>17</v>
      </c>
      <c r="I3699" s="6" t="s">
        <v>18</v>
      </c>
      <c r="J3699" s="6" t="s">
        <v>19</v>
      </c>
      <c r="K3699" s="7">
        <v>43612</v>
      </c>
      <c r="L3699" s="8">
        <v>0.41666666666666669</v>
      </c>
      <c r="M3699" s="6" t="s">
        <v>1327</v>
      </c>
      <c r="N3699" s="14" t="s">
        <v>21</v>
      </c>
      <c r="O3699" s="6" t="s">
        <v>22</v>
      </c>
    </row>
    <row r="3700" spans="1:15" hidden="1">
      <c r="A3700" s="6" t="s">
        <v>15</v>
      </c>
      <c r="B3700" s="6" t="str">
        <f>"FES1162691780"</f>
        <v>FES1162691780</v>
      </c>
      <c r="C3700" s="7">
        <v>43609</v>
      </c>
      <c r="D3700" s="6">
        <v>1</v>
      </c>
      <c r="E3700" s="6">
        <v>2170690105</v>
      </c>
      <c r="F3700" s="6" t="s">
        <v>16</v>
      </c>
      <c r="G3700" s="6" t="s">
        <v>17</v>
      </c>
      <c r="H3700" s="6" t="s">
        <v>300</v>
      </c>
      <c r="I3700" s="6" t="s">
        <v>301</v>
      </c>
      <c r="J3700" s="6" t="s">
        <v>3781</v>
      </c>
      <c r="K3700" s="7">
        <v>43612</v>
      </c>
      <c r="L3700" s="8">
        <v>0.4236111111111111</v>
      </c>
      <c r="M3700" s="6" t="s">
        <v>4245</v>
      </c>
      <c r="N3700" s="14" t="s">
        <v>21</v>
      </c>
      <c r="O3700" s="6" t="s">
        <v>22</v>
      </c>
    </row>
    <row r="3701" spans="1:15" hidden="1">
      <c r="A3701" s="6" t="s">
        <v>15</v>
      </c>
      <c r="B3701" s="6" t="str">
        <f>"FES1162691731"</f>
        <v>FES1162691731</v>
      </c>
      <c r="C3701" s="7">
        <v>43609</v>
      </c>
      <c r="D3701" s="6">
        <v>1</v>
      </c>
      <c r="E3701" s="6">
        <v>2170689031</v>
      </c>
      <c r="F3701" s="6" t="s">
        <v>16</v>
      </c>
      <c r="G3701" s="6" t="s">
        <v>17</v>
      </c>
      <c r="H3701" s="6" t="s">
        <v>290</v>
      </c>
      <c r="I3701" s="6" t="s">
        <v>316</v>
      </c>
      <c r="J3701" s="6" t="s">
        <v>284</v>
      </c>
      <c r="K3701" s="7">
        <v>43612</v>
      </c>
      <c r="L3701" s="8">
        <v>0.44513888888888892</v>
      </c>
      <c r="M3701" s="6" t="s">
        <v>320</v>
      </c>
      <c r="N3701" s="14" t="s">
        <v>21</v>
      </c>
      <c r="O3701" s="6" t="s">
        <v>22</v>
      </c>
    </row>
    <row r="3702" spans="1:15" hidden="1">
      <c r="A3702" s="6" t="s">
        <v>15</v>
      </c>
      <c r="B3702" s="6" t="str">
        <f>"FES1162691822"</f>
        <v>FES1162691822</v>
      </c>
      <c r="C3702" s="7">
        <v>43609</v>
      </c>
      <c r="D3702" s="6">
        <v>1</v>
      </c>
      <c r="E3702" s="6">
        <v>2170690162</v>
      </c>
      <c r="F3702" s="6" t="s">
        <v>16</v>
      </c>
      <c r="G3702" s="6" t="s">
        <v>17</v>
      </c>
      <c r="H3702" s="6" t="s">
        <v>43</v>
      </c>
      <c r="I3702" s="6" t="s">
        <v>44</v>
      </c>
      <c r="J3702" s="6" t="s">
        <v>742</v>
      </c>
      <c r="K3702" s="7">
        <v>43612</v>
      </c>
      <c r="L3702" s="8">
        <v>0.38611111111111113</v>
      </c>
      <c r="M3702" s="6" t="s">
        <v>1231</v>
      </c>
      <c r="N3702" s="14" t="s">
        <v>21</v>
      </c>
      <c r="O3702" s="6" t="s">
        <v>22</v>
      </c>
    </row>
    <row r="3703" spans="1:15" hidden="1">
      <c r="A3703" s="6" t="s">
        <v>15</v>
      </c>
      <c r="B3703" s="6" t="str">
        <f>"FES1162691716"</f>
        <v>FES1162691716</v>
      </c>
      <c r="C3703" s="7">
        <v>43609</v>
      </c>
      <c r="D3703" s="6">
        <v>1</v>
      </c>
      <c r="E3703" s="6">
        <v>2170690033</v>
      </c>
      <c r="F3703" s="6" t="s">
        <v>16</v>
      </c>
      <c r="G3703" s="6" t="s">
        <v>17</v>
      </c>
      <c r="H3703" s="6" t="s">
        <v>290</v>
      </c>
      <c r="I3703" s="6" t="s">
        <v>291</v>
      </c>
      <c r="J3703" s="6" t="s">
        <v>1835</v>
      </c>
      <c r="K3703" s="7">
        <v>43612</v>
      </c>
      <c r="L3703" s="8">
        <v>0.42430555555555555</v>
      </c>
      <c r="M3703" s="6" t="s">
        <v>4249</v>
      </c>
      <c r="N3703" s="14" t="s">
        <v>21</v>
      </c>
      <c r="O3703" s="6" t="s">
        <v>22</v>
      </c>
    </row>
    <row r="3704" spans="1:15" hidden="1">
      <c r="A3704" s="6" t="s">
        <v>15</v>
      </c>
      <c r="B3704" s="6" t="str">
        <f>"FES1162691756"</f>
        <v>FES1162691756</v>
      </c>
      <c r="C3704" s="7">
        <v>43609</v>
      </c>
      <c r="D3704" s="6">
        <v>1</v>
      </c>
      <c r="E3704" s="6">
        <v>2170690073</v>
      </c>
      <c r="F3704" s="6" t="s">
        <v>16</v>
      </c>
      <c r="G3704" s="6" t="s">
        <v>17</v>
      </c>
      <c r="H3704" s="6" t="s">
        <v>290</v>
      </c>
      <c r="I3704" s="6" t="s">
        <v>291</v>
      </c>
      <c r="J3704" s="6" t="s">
        <v>1187</v>
      </c>
      <c r="K3704" s="7">
        <v>43612</v>
      </c>
      <c r="L3704" s="8">
        <v>0.4236111111111111</v>
      </c>
      <c r="M3704" s="6" t="s">
        <v>4251</v>
      </c>
      <c r="N3704" s="14" t="s">
        <v>21</v>
      </c>
      <c r="O3704" s="6" t="s">
        <v>22</v>
      </c>
    </row>
    <row r="3705" spans="1:15" hidden="1">
      <c r="A3705" s="6" t="s">
        <v>15</v>
      </c>
      <c r="B3705" s="6" t="str">
        <f>"FES1162691703"</f>
        <v>FES1162691703</v>
      </c>
      <c r="C3705" s="7">
        <v>43609</v>
      </c>
      <c r="D3705" s="6">
        <v>1</v>
      </c>
      <c r="E3705" s="6">
        <v>2170690018</v>
      </c>
      <c r="F3705" s="6" t="s">
        <v>58</v>
      </c>
      <c r="G3705" s="6" t="s">
        <v>59</v>
      </c>
      <c r="H3705" s="6" t="s">
        <v>132</v>
      </c>
      <c r="I3705" s="6" t="s">
        <v>133</v>
      </c>
      <c r="J3705" s="6" t="s">
        <v>1605</v>
      </c>
      <c r="K3705" s="7">
        <v>43612</v>
      </c>
      <c r="L3705" s="8">
        <v>0.43055555555555558</v>
      </c>
      <c r="M3705" s="6" t="s">
        <v>4253</v>
      </c>
      <c r="N3705" s="14" t="s">
        <v>21</v>
      </c>
      <c r="O3705" s="6" t="s">
        <v>494</v>
      </c>
    </row>
    <row r="3706" spans="1:15" hidden="1">
      <c r="A3706" s="6" t="s">
        <v>15</v>
      </c>
      <c r="B3706" s="6" t="str">
        <f>"FES1162691768"</f>
        <v>FES1162691768</v>
      </c>
      <c r="C3706" s="7">
        <v>43609</v>
      </c>
      <c r="D3706" s="6">
        <v>1</v>
      </c>
      <c r="E3706" s="6">
        <v>2170690093</v>
      </c>
      <c r="F3706" s="6" t="s">
        <v>16</v>
      </c>
      <c r="G3706" s="6" t="s">
        <v>17</v>
      </c>
      <c r="H3706" s="6" t="s">
        <v>300</v>
      </c>
      <c r="I3706" s="6" t="s">
        <v>301</v>
      </c>
      <c r="J3706" s="6" t="s">
        <v>3781</v>
      </c>
      <c r="K3706" s="7">
        <v>43612</v>
      </c>
      <c r="L3706" s="8">
        <v>0.4236111111111111</v>
      </c>
      <c r="M3706" s="6" t="s">
        <v>1609</v>
      </c>
      <c r="N3706" s="14" t="s">
        <v>21</v>
      </c>
      <c r="O3706" s="6" t="s">
        <v>22</v>
      </c>
    </row>
    <row r="3707" spans="1:15" hidden="1">
      <c r="A3707" s="6" t="s">
        <v>15</v>
      </c>
      <c r="B3707" s="6" t="str">
        <f>"FES1162691819"</f>
        <v>FES1162691819</v>
      </c>
      <c r="C3707" s="7">
        <v>43609</v>
      </c>
      <c r="D3707" s="6">
        <v>1</v>
      </c>
      <c r="E3707" s="6">
        <v>2170690151</v>
      </c>
      <c r="F3707" s="6" t="s">
        <v>16</v>
      </c>
      <c r="G3707" s="6" t="s">
        <v>17</v>
      </c>
      <c r="H3707" s="6" t="s">
        <v>141</v>
      </c>
      <c r="I3707" s="6" t="s">
        <v>142</v>
      </c>
      <c r="J3707" s="6" t="s">
        <v>228</v>
      </c>
      <c r="K3707" s="7">
        <v>43612</v>
      </c>
      <c r="L3707" s="8">
        <v>0.53749999999999998</v>
      </c>
      <c r="M3707" s="6" t="s">
        <v>4255</v>
      </c>
      <c r="N3707" s="14" t="s">
        <v>21</v>
      </c>
      <c r="O3707" s="6" t="s">
        <v>22</v>
      </c>
    </row>
    <row r="3708" spans="1:15">
      <c r="A3708" s="6" t="s">
        <v>15</v>
      </c>
      <c r="B3708" s="6" t="str">
        <f>"FES1162691823"</f>
        <v>FES1162691823</v>
      </c>
      <c r="C3708" s="7">
        <v>43609</v>
      </c>
      <c r="D3708" s="6">
        <v>1</v>
      </c>
      <c r="E3708" s="6">
        <v>2170690163</v>
      </c>
      <c r="F3708" s="6" t="s">
        <v>16</v>
      </c>
      <c r="G3708" s="6" t="s">
        <v>17</v>
      </c>
      <c r="H3708" s="6" t="s">
        <v>17</v>
      </c>
      <c r="I3708" s="6" t="s">
        <v>64</v>
      </c>
      <c r="J3708" s="6" t="s">
        <v>2006</v>
      </c>
      <c r="K3708" s="7">
        <v>43612</v>
      </c>
      <c r="L3708" s="8">
        <v>0.33819444444444446</v>
      </c>
      <c r="M3708" s="6" t="s">
        <v>4340</v>
      </c>
      <c r="N3708" s="14" t="s">
        <v>21</v>
      </c>
      <c r="O3708" s="6" t="s">
        <v>22</v>
      </c>
    </row>
    <row r="3709" spans="1:15" hidden="1">
      <c r="A3709" s="6" t="s">
        <v>15</v>
      </c>
      <c r="B3709" s="6" t="str">
        <f>"FES1162691853"</f>
        <v>FES1162691853</v>
      </c>
      <c r="C3709" s="7">
        <v>43609</v>
      </c>
      <c r="D3709" s="6">
        <v>1</v>
      </c>
      <c r="E3709" s="6">
        <v>2170690201</v>
      </c>
      <c r="F3709" s="6" t="s">
        <v>16</v>
      </c>
      <c r="G3709" s="6" t="s">
        <v>17</v>
      </c>
      <c r="H3709" s="6" t="s">
        <v>141</v>
      </c>
      <c r="I3709" s="6" t="s">
        <v>185</v>
      </c>
      <c r="J3709" s="6" t="s">
        <v>210</v>
      </c>
      <c r="K3709" s="7">
        <v>43612</v>
      </c>
      <c r="L3709" s="8">
        <v>0.37083333333333335</v>
      </c>
      <c r="M3709" s="6" t="s">
        <v>211</v>
      </c>
      <c r="N3709" s="14" t="s">
        <v>21</v>
      </c>
      <c r="O3709" s="6" t="s">
        <v>22</v>
      </c>
    </row>
    <row r="3710" spans="1:15">
      <c r="A3710" s="6" t="s">
        <v>15</v>
      </c>
      <c r="B3710" s="6" t="str">
        <f>"FES1162691831"</f>
        <v>FES1162691831</v>
      </c>
      <c r="C3710" s="7">
        <v>43609</v>
      </c>
      <c r="D3710" s="6">
        <v>1</v>
      </c>
      <c r="E3710" s="6">
        <v>2170690174</v>
      </c>
      <c r="F3710" s="6" t="s">
        <v>16</v>
      </c>
      <c r="G3710" s="6" t="s">
        <v>17</v>
      </c>
      <c r="H3710" s="6" t="s">
        <v>17</v>
      </c>
      <c r="I3710" s="6" t="s">
        <v>18</v>
      </c>
      <c r="J3710" s="6" t="s">
        <v>1368</v>
      </c>
      <c r="K3710" s="7">
        <v>43612</v>
      </c>
      <c r="L3710" s="8">
        <v>0.33333333333333331</v>
      </c>
      <c r="M3710" s="6" t="s">
        <v>2054</v>
      </c>
      <c r="N3710" s="14" t="s">
        <v>21</v>
      </c>
      <c r="O3710" s="6" t="s">
        <v>22</v>
      </c>
    </row>
    <row r="3711" spans="1:15">
      <c r="A3711" s="6" t="s">
        <v>15</v>
      </c>
      <c r="B3711" s="6" t="str">
        <f>"FES1162691849"</f>
        <v>FES1162691849</v>
      </c>
      <c r="C3711" s="7">
        <v>43609</v>
      </c>
      <c r="D3711" s="6">
        <v>1</v>
      </c>
      <c r="E3711" s="6">
        <v>2170689273</v>
      </c>
      <c r="F3711" s="6" t="s">
        <v>16</v>
      </c>
      <c r="G3711" s="6" t="s">
        <v>17</v>
      </c>
      <c r="H3711" s="6" t="s">
        <v>17</v>
      </c>
      <c r="I3711" s="6" t="s">
        <v>64</v>
      </c>
      <c r="J3711" s="6" t="s">
        <v>3818</v>
      </c>
      <c r="K3711" s="7">
        <v>43612</v>
      </c>
      <c r="L3711" s="8">
        <v>0.38263888888888892</v>
      </c>
      <c r="M3711" s="6" t="s">
        <v>4341</v>
      </c>
      <c r="N3711" s="14" t="s">
        <v>21</v>
      </c>
      <c r="O3711" s="6" t="s">
        <v>22</v>
      </c>
    </row>
    <row r="3712" spans="1:15" hidden="1">
      <c r="A3712" s="6" t="s">
        <v>15</v>
      </c>
      <c r="B3712" s="6" t="str">
        <f>"FES1162691830"</f>
        <v>FES1162691830</v>
      </c>
      <c r="C3712" s="7">
        <v>43609</v>
      </c>
      <c r="D3712" s="6">
        <v>1</v>
      </c>
      <c r="E3712" s="6">
        <v>2170690171</v>
      </c>
      <c r="F3712" s="6" t="s">
        <v>16</v>
      </c>
      <c r="G3712" s="6" t="s">
        <v>17</v>
      </c>
      <c r="H3712" s="6" t="s">
        <v>32</v>
      </c>
      <c r="I3712" s="6" t="s">
        <v>33</v>
      </c>
      <c r="J3712" s="6" t="s">
        <v>2432</v>
      </c>
      <c r="K3712" s="7">
        <v>43612</v>
      </c>
      <c r="L3712" s="8">
        <v>0.38194444444444442</v>
      </c>
      <c r="M3712" s="6" t="s">
        <v>2433</v>
      </c>
      <c r="N3712" s="14" t="s">
        <v>21</v>
      </c>
      <c r="O3712" s="6" t="s">
        <v>22</v>
      </c>
    </row>
    <row r="3713" spans="1:15" hidden="1">
      <c r="A3713" s="6" t="s">
        <v>15</v>
      </c>
      <c r="B3713" s="6" t="str">
        <f>"FES1162691829"</f>
        <v>FES1162691829</v>
      </c>
      <c r="C3713" s="7">
        <v>43609</v>
      </c>
      <c r="D3713" s="6">
        <v>1</v>
      </c>
      <c r="E3713" s="6">
        <v>2170687517</v>
      </c>
      <c r="F3713" s="6" t="s">
        <v>16</v>
      </c>
      <c r="G3713" s="6" t="s">
        <v>17</v>
      </c>
      <c r="H3713" s="6" t="s">
        <v>32</v>
      </c>
      <c r="I3713" s="6" t="s">
        <v>33</v>
      </c>
      <c r="J3713" s="6" t="s">
        <v>832</v>
      </c>
      <c r="K3713" s="7">
        <v>43612</v>
      </c>
      <c r="L3713" s="8">
        <v>0.375</v>
      </c>
      <c r="M3713" s="6" t="s">
        <v>1541</v>
      </c>
      <c r="N3713" s="14" t="s">
        <v>21</v>
      </c>
      <c r="O3713" s="6" t="s">
        <v>22</v>
      </c>
    </row>
    <row r="3714" spans="1:15" hidden="1">
      <c r="A3714" s="6" t="s">
        <v>15</v>
      </c>
      <c r="B3714" s="6" t="str">
        <f>"FES1162691840"</f>
        <v>FES1162691840</v>
      </c>
      <c r="C3714" s="7">
        <v>43609</v>
      </c>
      <c r="D3714" s="6">
        <v>1</v>
      </c>
      <c r="E3714" s="6">
        <v>2170690185</v>
      </c>
      <c r="F3714" s="6" t="s">
        <v>16</v>
      </c>
      <c r="G3714" s="6" t="s">
        <v>17</v>
      </c>
      <c r="H3714" s="6" t="s">
        <v>43</v>
      </c>
      <c r="I3714" s="6" t="s">
        <v>44</v>
      </c>
      <c r="J3714" s="6" t="s">
        <v>51</v>
      </c>
      <c r="K3714" s="7">
        <v>43612</v>
      </c>
      <c r="L3714" s="8">
        <v>0.32222222222222224</v>
      </c>
      <c r="M3714" s="6" t="s">
        <v>1629</v>
      </c>
      <c r="N3714" s="14" t="s">
        <v>21</v>
      </c>
      <c r="O3714" s="6" t="s">
        <v>22</v>
      </c>
    </row>
    <row r="3715" spans="1:15" hidden="1">
      <c r="A3715" s="6" t="s">
        <v>15</v>
      </c>
      <c r="B3715" s="6" t="str">
        <f>"FES1162691847"</f>
        <v>FES1162691847</v>
      </c>
      <c r="C3715" s="7">
        <v>43609</v>
      </c>
      <c r="D3715" s="6">
        <v>1</v>
      </c>
      <c r="E3715" s="6">
        <v>2170690193</v>
      </c>
      <c r="F3715" s="6" t="s">
        <v>16</v>
      </c>
      <c r="G3715" s="6" t="s">
        <v>17</v>
      </c>
      <c r="H3715" s="6" t="s">
        <v>43</v>
      </c>
      <c r="I3715" s="6" t="s">
        <v>44</v>
      </c>
      <c r="J3715" s="6" t="s">
        <v>4134</v>
      </c>
      <c r="K3715" s="7">
        <v>43612</v>
      </c>
      <c r="L3715" s="8">
        <v>0.3923611111111111</v>
      </c>
      <c r="M3715" s="6" t="s">
        <v>4260</v>
      </c>
      <c r="N3715" s="14" t="s">
        <v>21</v>
      </c>
      <c r="O3715" s="6" t="s">
        <v>22</v>
      </c>
    </row>
    <row r="3716" spans="1:15" hidden="1">
      <c r="A3716" s="6" t="s">
        <v>15</v>
      </c>
      <c r="B3716" s="6" t="str">
        <f>"FES1162691867"</f>
        <v>FES1162691867</v>
      </c>
      <c r="C3716" s="7">
        <v>43609</v>
      </c>
      <c r="D3716" s="6">
        <v>1</v>
      </c>
      <c r="E3716" s="6">
        <v>2170690216</v>
      </c>
      <c r="F3716" s="6" t="s">
        <v>16</v>
      </c>
      <c r="G3716" s="6" t="s">
        <v>17</v>
      </c>
      <c r="H3716" s="6" t="s">
        <v>290</v>
      </c>
      <c r="I3716" s="6" t="s">
        <v>291</v>
      </c>
      <c r="J3716" s="6" t="s">
        <v>4262</v>
      </c>
      <c r="K3716" s="7">
        <v>43612</v>
      </c>
      <c r="L3716" s="8">
        <v>0.34027777777777773</v>
      </c>
      <c r="M3716" s="6" t="s">
        <v>4263</v>
      </c>
      <c r="N3716" s="14" t="s">
        <v>21</v>
      </c>
      <c r="O3716" s="6" t="s">
        <v>22</v>
      </c>
    </row>
    <row r="3717" spans="1:15" hidden="1">
      <c r="A3717" s="6" t="s">
        <v>15</v>
      </c>
      <c r="B3717" s="6" t="str">
        <f>"FES1162691851"</f>
        <v>FES1162691851</v>
      </c>
      <c r="C3717" s="7">
        <v>43609</v>
      </c>
      <c r="D3717" s="6">
        <v>1</v>
      </c>
      <c r="E3717" s="6">
        <v>2170690199</v>
      </c>
      <c r="F3717" s="6" t="s">
        <v>16</v>
      </c>
      <c r="G3717" s="6" t="s">
        <v>17</v>
      </c>
      <c r="H3717" s="6" t="s">
        <v>290</v>
      </c>
      <c r="I3717" s="6" t="s">
        <v>309</v>
      </c>
      <c r="J3717" s="6" t="s">
        <v>4265</v>
      </c>
      <c r="K3717" s="7">
        <v>43612</v>
      </c>
      <c r="L3717" s="8">
        <v>0.42986111111111108</v>
      </c>
      <c r="M3717" s="6" t="s">
        <v>4266</v>
      </c>
      <c r="N3717" s="14" t="s">
        <v>21</v>
      </c>
      <c r="O3717" s="6" t="s">
        <v>22</v>
      </c>
    </row>
    <row r="3718" spans="1:15" hidden="1">
      <c r="A3718" s="6" t="s">
        <v>15</v>
      </c>
      <c r="B3718" s="6" t="str">
        <f>"FES1162691865"</f>
        <v>FES1162691865</v>
      </c>
      <c r="C3718" s="7">
        <v>43609</v>
      </c>
      <c r="D3718" s="6">
        <v>1</v>
      </c>
      <c r="E3718" s="6">
        <v>217690211</v>
      </c>
      <c r="F3718" s="6" t="s">
        <v>16</v>
      </c>
      <c r="G3718" s="6" t="s">
        <v>17</v>
      </c>
      <c r="H3718" s="6" t="s">
        <v>290</v>
      </c>
      <c r="I3718" s="6" t="s">
        <v>291</v>
      </c>
      <c r="J3718" s="6" t="s">
        <v>4262</v>
      </c>
      <c r="K3718" s="7">
        <v>43612</v>
      </c>
      <c r="L3718" s="8">
        <v>0.34097222222222223</v>
      </c>
      <c r="M3718" s="6" t="s">
        <v>4263</v>
      </c>
      <c r="N3718" s="14" t="s">
        <v>21</v>
      </c>
      <c r="O3718" s="6" t="s">
        <v>22</v>
      </c>
    </row>
    <row r="3719" spans="1:15" hidden="1">
      <c r="A3719" s="6" t="s">
        <v>15</v>
      </c>
      <c r="B3719" s="6" t="str">
        <f>"FES1162691872"</f>
        <v>FES1162691872</v>
      </c>
      <c r="C3719" s="7">
        <v>43609</v>
      </c>
      <c r="D3719" s="6">
        <v>1</v>
      </c>
      <c r="E3719" s="6">
        <v>2170690221</v>
      </c>
      <c r="F3719" s="6" t="s">
        <v>16</v>
      </c>
      <c r="G3719" s="6" t="s">
        <v>17</v>
      </c>
      <c r="H3719" s="6" t="s">
        <v>290</v>
      </c>
      <c r="I3719" s="6" t="s">
        <v>291</v>
      </c>
      <c r="J3719" s="6" t="s">
        <v>817</v>
      </c>
      <c r="K3719" s="7">
        <v>43612</v>
      </c>
      <c r="L3719" s="8">
        <v>0.42708333333333331</v>
      </c>
      <c r="M3719" s="6" t="s">
        <v>4269</v>
      </c>
      <c r="N3719" s="14" t="s">
        <v>21</v>
      </c>
      <c r="O3719" s="6" t="s">
        <v>22</v>
      </c>
    </row>
    <row r="3720" spans="1:15" hidden="1">
      <c r="A3720" s="6" t="s">
        <v>15</v>
      </c>
      <c r="B3720" s="6" t="str">
        <f>"FES1162691848"</f>
        <v>FES1162691848</v>
      </c>
      <c r="C3720" s="7">
        <v>43609</v>
      </c>
      <c r="D3720" s="6">
        <v>1</v>
      </c>
      <c r="E3720" s="6">
        <v>217090197</v>
      </c>
      <c r="F3720" s="6" t="s">
        <v>16</v>
      </c>
      <c r="G3720" s="6" t="s">
        <v>17</v>
      </c>
      <c r="H3720" s="6" t="s">
        <v>290</v>
      </c>
      <c r="I3720" s="6" t="s">
        <v>291</v>
      </c>
      <c r="J3720" s="6" t="s">
        <v>4270</v>
      </c>
      <c r="K3720" s="7">
        <v>43612</v>
      </c>
      <c r="L3720" s="8">
        <v>0.41666666666666669</v>
      </c>
      <c r="M3720" s="6" t="s">
        <v>3171</v>
      </c>
      <c r="N3720" s="14" t="s">
        <v>21</v>
      </c>
      <c r="O3720" s="6" t="s">
        <v>22</v>
      </c>
    </row>
    <row r="3721" spans="1:15">
      <c r="A3721" s="6" t="s">
        <v>15</v>
      </c>
      <c r="B3721" s="6" t="str">
        <f>"FES1162691863"</f>
        <v>FES1162691863</v>
      </c>
      <c r="C3721" s="7">
        <v>43609</v>
      </c>
      <c r="D3721" s="6">
        <v>1</v>
      </c>
      <c r="E3721" s="6">
        <v>217090209</v>
      </c>
      <c r="F3721" s="6" t="s">
        <v>16</v>
      </c>
      <c r="G3721" s="6" t="s">
        <v>17</v>
      </c>
      <c r="H3721" s="6" t="s">
        <v>17</v>
      </c>
      <c r="I3721" s="6" t="s">
        <v>18</v>
      </c>
      <c r="J3721" s="6" t="s">
        <v>19</v>
      </c>
      <c r="K3721" s="7">
        <v>43612</v>
      </c>
      <c r="L3721" s="8">
        <v>0.41666666666666669</v>
      </c>
      <c r="M3721" s="6" t="s">
        <v>4342</v>
      </c>
      <c r="N3721" s="14" t="s">
        <v>21</v>
      </c>
      <c r="O3721" s="6" t="s">
        <v>22</v>
      </c>
    </row>
    <row r="3722" spans="1:15" hidden="1">
      <c r="A3722" s="6" t="s">
        <v>15</v>
      </c>
      <c r="B3722" s="6" t="str">
        <f>"009935791897"</f>
        <v>009935791897</v>
      </c>
      <c r="C3722" s="7">
        <v>43609</v>
      </c>
      <c r="D3722" s="6">
        <v>1</v>
      </c>
      <c r="E3722" s="6" t="s">
        <v>3266</v>
      </c>
      <c r="F3722" s="6" t="s">
        <v>16</v>
      </c>
      <c r="G3722" s="6" t="s">
        <v>17</v>
      </c>
      <c r="H3722" s="6" t="s">
        <v>43</v>
      </c>
      <c r="I3722" s="6" t="s">
        <v>44</v>
      </c>
      <c r="J3722" s="6" t="s">
        <v>607</v>
      </c>
      <c r="K3722" s="7">
        <v>43612</v>
      </c>
      <c r="L3722" s="8">
        <v>0.33888888888888885</v>
      </c>
      <c r="M3722" s="6" t="s">
        <v>2442</v>
      </c>
      <c r="N3722" s="14" t="s">
        <v>21</v>
      </c>
      <c r="O3722" s="6" t="s">
        <v>22</v>
      </c>
    </row>
    <row r="3723" spans="1:15">
      <c r="A3723" s="6" t="s">
        <v>15</v>
      </c>
      <c r="B3723" s="6" t="str">
        <f>"FES1162691878"</f>
        <v>FES1162691878</v>
      </c>
      <c r="C3723" s="7">
        <v>43609</v>
      </c>
      <c r="D3723" s="6">
        <v>1</v>
      </c>
      <c r="E3723" s="6">
        <v>2170690229</v>
      </c>
      <c r="F3723" s="6" t="s">
        <v>16</v>
      </c>
      <c r="G3723" s="6" t="s">
        <v>17</v>
      </c>
      <c r="H3723" s="6" t="s">
        <v>17</v>
      </c>
      <c r="I3723" s="6" t="s">
        <v>29</v>
      </c>
      <c r="J3723" s="6" t="s">
        <v>109</v>
      </c>
      <c r="K3723" s="7">
        <v>43612</v>
      </c>
      <c r="L3723" s="8">
        <v>0.33333333333333331</v>
      </c>
      <c r="M3723" s="6" t="s">
        <v>56</v>
      </c>
      <c r="N3723" s="14" t="s">
        <v>21</v>
      </c>
      <c r="O3723" s="6" t="s">
        <v>22</v>
      </c>
    </row>
    <row r="3724" spans="1:15" hidden="1">
      <c r="A3724" s="6" t="s">
        <v>15</v>
      </c>
      <c r="B3724" s="6" t="str">
        <f>"FES1162691869"</f>
        <v>FES1162691869</v>
      </c>
      <c r="C3724" s="7">
        <v>43609</v>
      </c>
      <c r="D3724" s="6">
        <v>1</v>
      </c>
      <c r="E3724" s="6">
        <v>2170690219</v>
      </c>
      <c r="F3724" s="6" t="s">
        <v>16</v>
      </c>
      <c r="G3724" s="6" t="s">
        <v>17</v>
      </c>
      <c r="H3724" s="6" t="s">
        <v>43</v>
      </c>
      <c r="I3724" s="6" t="s">
        <v>44</v>
      </c>
      <c r="J3724" s="6" t="s">
        <v>3770</v>
      </c>
      <c r="K3724" s="7">
        <v>43612</v>
      </c>
      <c r="L3724" s="8">
        <v>0.45833333333333331</v>
      </c>
      <c r="M3724" s="6" t="s">
        <v>3771</v>
      </c>
      <c r="N3724" s="14" t="s">
        <v>21</v>
      </c>
      <c r="O3724" s="6" t="s">
        <v>22</v>
      </c>
    </row>
    <row r="3725" spans="1:15">
      <c r="A3725" s="6" t="s">
        <v>15</v>
      </c>
      <c r="B3725" s="6" t="str">
        <f>"FES1162691860"</f>
        <v>FES1162691860</v>
      </c>
      <c r="C3725" s="7">
        <v>43609</v>
      </c>
      <c r="D3725" s="6">
        <v>1</v>
      </c>
      <c r="E3725" s="6">
        <v>2170690207</v>
      </c>
      <c r="F3725" s="6" t="s">
        <v>16</v>
      </c>
      <c r="G3725" s="6" t="s">
        <v>17</v>
      </c>
      <c r="H3725" s="6" t="s">
        <v>17</v>
      </c>
      <c r="I3725" s="6" t="s">
        <v>18</v>
      </c>
      <c r="J3725" s="6" t="s">
        <v>19</v>
      </c>
      <c r="K3725" s="7">
        <v>43612</v>
      </c>
      <c r="L3725" s="8">
        <v>0.41666666666666669</v>
      </c>
      <c r="M3725" s="6" t="s">
        <v>1327</v>
      </c>
      <c r="N3725" s="14" t="s">
        <v>21</v>
      </c>
      <c r="O3725" s="6" t="s">
        <v>22</v>
      </c>
    </row>
    <row r="3726" spans="1:15" hidden="1">
      <c r="A3726" s="6" t="s">
        <v>15</v>
      </c>
      <c r="B3726" s="6" t="str">
        <f>"FES1162691866"</f>
        <v>FES1162691866</v>
      </c>
      <c r="C3726" s="7">
        <v>43609</v>
      </c>
      <c r="D3726" s="6">
        <v>1</v>
      </c>
      <c r="E3726" s="6">
        <v>2170690214</v>
      </c>
      <c r="F3726" s="6" t="s">
        <v>16</v>
      </c>
      <c r="G3726" s="6" t="s">
        <v>17</v>
      </c>
      <c r="H3726" s="6" t="s">
        <v>141</v>
      </c>
      <c r="I3726" s="6" t="s">
        <v>142</v>
      </c>
      <c r="J3726" s="6" t="s">
        <v>1379</v>
      </c>
      <c r="K3726" s="7">
        <v>43612</v>
      </c>
      <c r="L3726" s="8">
        <v>0.3972222222222222</v>
      </c>
      <c r="M3726" s="6" t="s">
        <v>1205</v>
      </c>
      <c r="N3726" s="14" t="s">
        <v>21</v>
      </c>
      <c r="O3726" s="6" t="s">
        <v>22</v>
      </c>
    </row>
    <row r="3727" spans="1:15">
      <c r="A3727" s="6" t="s">
        <v>15</v>
      </c>
      <c r="B3727" s="6" t="str">
        <f>"FES1162691825"</f>
        <v>FES1162691825</v>
      </c>
      <c r="C3727" s="7">
        <v>43609</v>
      </c>
      <c r="D3727" s="6">
        <v>1</v>
      </c>
      <c r="E3727" s="6">
        <v>2170690166</v>
      </c>
      <c r="F3727" s="6" t="s">
        <v>16</v>
      </c>
      <c r="G3727" s="6" t="s">
        <v>17</v>
      </c>
      <c r="H3727" s="6" t="s">
        <v>17</v>
      </c>
      <c r="I3727" s="6" t="s">
        <v>103</v>
      </c>
      <c r="J3727" s="6" t="s">
        <v>2825</v>
      </c>
      <c r="K3727" s="7">
        <v>43612</v>
      </c>
      <c r="L3727" s="8">
        <v>0.48125000000000001</v>
      </c>
      <c r="M3727" s="6" t="s">
        <v>4343</v>
      </c>
      <c r="N3727" s="14" t="s">
        <v>21</v>
      </c>
      <c r="O3727" s="6" t="s">
        <v>22</v>
      </c>
    </row>
    <row r="3728" spans="1:15">
      <c r="A3728" s="6" t="s">
        <v>15</v>
      </c>
      <c r="B3728" s="6" t="str">
        <f>"FES1162691862"</f>
        <v>FES1162691862</v>
      </c>
      <c r="C3728" s="7">
        <v>43609</v>
      </c>
      <c r="D3728" s="6">
        <v>1</v>
      </c>
      <c r="E3728" s="6">
        <v>2170690212</v>
      </c>
      <c r="F3728" s="6" t="s">
        <v>16</v>
      </c>
      <c r="G3728" s="6" t="s">
        <v>17</v>
      </c>
      <c r="H3728" s="6" t="s">
        <v>17</v>
      </c>
      <c r="I3728" s="6" t="s">
        <v>103</v>
      </c>
      <c r="J3728" s="6" t="s">
        <v>104</v>
      </c>
      <c r="K3728" s="7">
        <v>43612</v>
      </c>
      <c r="L3728" s="8">
        <v>0.42083333333333334</v>
      </c>
      <c r="M3728" s="6" t="s">
        <v>105</v>
      </c>
      <c r="N3728" s="14" t="s">
        <v>21</v>
      </c>
      <c r="O3728" s="6" t="s">
        <v>22</v>
      </c>
    </row>
    <row r="3729" spans="1:15">
      <c r="A3729" s="6" t="s">
        <v>15</v>
      </c>
      <c r="B3729" s="6" t="str">
        <f>"FES1162691850"</f>
        <v>FES1162691850</v>
      </c>
      <c r="C3729" s="7">
        <v>43609</v>
      </c>
      <c r="D3729" s="6">
        <v>1</v>
      </c>
      <c r="E3729" s="6">
        <v>2170690202</v>
      </c>
      <c r="F3729" s="6" t="s">
        <v>16</v>
      </c>
      <c r="G3729" s="6" t="s">
        <v>17</v>
      </c>
      <c r="H3729" s="6" t="s">
        <v>17</v>
      </c>
      <c r="I3729" s="6" t="s">
        <v>29</v>
      </c>
      <c r="J3729" s="6" t="s">
        <v>4344</v>
      </c>
      <c r="K3729" s="7">
        <v>43613</v>
      </c>
      <c r="L3729" s="8">
        <v>0.57916666666666672</v>
      </c>
      <c r="M3729" s="6" t="s">
        <v>4345</v>
      </c>
      <c r="N3729" s="14" t="s">
        <v>21</v>
      </c>
      <c r="O3729" s="6" t="s">
        <v>22</v>
      </c>
    </row>
    <row r="3730" spans="1:15">
      <c r="A3730" s="6" t="s">
        <v>15</v>
      </c>
      <c r="B3730" s="6" t="str">
        <f>"FES1162691859"</f>
        <v>FES1162691859</v>
      </c>
      <c r="C3730" s="7">
        <v>43609</v>
      </c>
      <c r="D3730" s="6">
        <v>1</v>
      </c>
      <c r="E3730" s="6">
        <v>2170690196</v>
      </c>
      <c r="F3730" s="6" t="s">
        <v>16</v>
      </c>
      <c r="G3730" s="6" t="s">
        <v>17</v>
      </c>
      <c r="H3730" s="6" t="s">
        <v>17</v>
      </c>
      <c r="I3730" s="6" t="s">
        <v>64</v>
      </c>
      <c r="J3730" s="6" t="s">
        <v>98</v>
      </c>
      <c r="K3730" s="7">
        <v>43612</v>
      </c>
      <c r="L3730" s="8">
        <v>0.33333333333333331</v>
      </c>
      <c r="M3730" s="6" t="s">
        <v>4332</v>
      </c>
      <c r="N3730" s="14" t="s">
        <v>21</v>
      </c>
      <c r="O3730" s="6" t="s">
        <v>22</v>
      </c>
    </row>
    <row r="3731" spans="1:15" hidden="1">
      <c r="A3731" s="6" t="s">
        <v>15</v>
      </c>
      <c r="B3731" s="6" t="str">
        <f>"FES1162691876"</f>
        <v>FES1162691876</v>
      </c>
      <c r="C3731" s="7">
        <v>43609</v>
      </c>
      <c r="D3731" s="6">
        <v>1</v>
      </c>
      <c r="E3731" s="6">
        <v>2170690227</v>
      </c>
      <c r="F3731" s="6" t="s">
        <v>16</v>
      </c>
      <c r="G3731" s="6" t="s">
        <v>17</v>
      </c>
      <c r="H3731" s="6" t="s">
        <v>141</v>
      </c>
      <c r="I3731" s="6" t="s">
        <v>142</v>
      </c>
      <c r="J3731" s="6" t="s">
        <v>4274</v>
      </c>
      <c r="K3731" s="7">
        <v>43613</v>
      </c>
      <c r="L3731" s="8">
        <v>0.40972222222222227</v>
      </c>
      <c r="M3731" s="6" t="s">
        <v>4346</v>
      </c>
      <c r="N3731" s="14" t="s">
        <v>21</v>
      </c>
      <c r="O3731" s="6" t="s">
        <v>22</v>
      </c>
    </row>
    <row r="3732" spans="1:15" hidden="1">
      <c r="A3732" s="6" t="s">
        <v>15</v>
      </c>
      <c r="B3732" s="6" t="str">
        <f>"FES1162691855"</f>
        <v>FES1162691855</v>
      </c>
      <c r="C3732" s="7">
        <v>43609</v>
      </c>
      <c r="D3732" s="6">
        <v>1</v>
      </c>
      <c r="E3732" s="6">
        <v>2170689758</v>
      </c>
      <c r="F3732" s="6" t="s">
        <v>16</v>
      </c>
      <c r="G3732" s="6" t="s">
        <v>17</v>
      </c>
      <c r="H3732" s="6" t="s">
        <v>132</v>
      </c>
      <c r="I3732" s="6" t="s">
        <v>133</v>
      </c>
      <c r="J3732" s="6" t="s">
        <v>846</v>
      </c>
      <c r="K3732" s="7">
        <v>43613</v>
      </c>
      <c r="L3732" s="8">
        <v>0.39930555555555558</v>
      </c>
      <c r="M3732" s="6" t="s">
        <v>4347</v>
      </c>
      <c r="N3732" s="14" t="s">
        <v>21</v>
      </c>
      <c r="O3732" s="6" t="s">
        <v>22</v>
      </c>
    </row>
    <row r="3733" spans="1:15">
      <c r="A3733" s="6" t="s">
        <v>15</v>
      </c>
      <c r="B3733" s="6" t="str">
        <f>"FES1162691880"</f>
        <v>FES1162691880</v>
      </c>
      <c r="C3733" s="7">
        <v>43609</v>
      </c>
      <c r="D3733" s="6">
        <v>1</v>
      </c>
      <c r="E3733" s="6">
        <v>2170690231</v>
      </c>
      <c r="F3733" s="6" t="s">
        <v>16</v>
      </c>
      <c r="G3733" s="6" t="s">
        <v>17</v>
      </c>
      <c r="H3733" s="6" t="s">
        <v>17</v>
      </c>
      <c r="I3733" s="6" t="s">
        <v>29</v>
      </c>
      <c r="J3733" s="6" t="s">
        <v>616</v>
      </c>
      <c r="K3733" s="7">
        <v>43612</v>
      </c>
      <c r="L3733" s="8">
        <v>0.33333333333333331</v>
      </c>
      <c r="M3733" s="6" t="s">
        <v>4348</v>
      </c>
      <c r="N3733" s="14" t="s">
        <v>21</v>
      </c>
      <c r="O3733" s="6" t="s">
        <v>22</v>
      </c>
    </row>
    <row r="3734" spans="1:15">
      <c r="A3734" s="6" t="s">
        <v>15</v>
      </c>
      <c r="B3734" s="6" t="str">
        <f>"FES1162691882"</f>
        <v>FES1162691882</v>
      </c>
      <c r="C3734" s="7">
        <v>43609</v>
      </c>
      <c r="D3734" s="6">
        <v>1</v>
      </c>
      <c r="E3734" s="6">
        <v>217690233</v>
      </c>
      <c r="F3734" s="6" t="s">
        <v>16</v>
      </c>
      <c r="G3734" s="6" t="s">
        <v>17</v>
      </c>
      <c r="H3734" s="6" t="s">
        <v>17</v>
      </c>
      <c r="I3734" s="6" t="s">
        <v>103</v>
      </c>
      <c r="J3734" s="6" t="s">
        <v>3170</v>
      </c>
      <c r="K3734" s="7">
        <v>43612</v>
      </c>
      <c r="L3734" s="8">
        <v>0.33333333333333331</v>
      </c>
      <c r="M3734" s="6" t="s">
        <v>1830</v>
      </c>
      <c r="N3734" s="14" t="s">
        <v>21</v>
      </c>
      <c r="O3734" s="6" t="s">
        <v>22</v>
      </c>
    </row>
    <row r="3735" spans="1:15">
      <c r="A3735" s="6" t="s">
        <v>15</v>
      </c>
      <c r="B3735" s="6" t="str">
        <f>"FES1162691877"</f>
        <v>FES1162691877</v>
      </c>
      <c r="C3735" s="7">
        <v>43609</v>
      </c>
      <c r="D3735" s="6">
        <v>1</v>
      </c>
      <c r="E3735" s="6">
        <v>2170689228</v>
      </c>
      <c r="F3735" s="6" t="s">
        <v>16</v>
      </c>
      <c r="G3735" s="6" t="s">
        <v>17</v>
      </c>
      <c r="H3735" s="6" t="s">
        <v>17</v>
      </c>
      <c r="I3735" s="6" t="s">
        <v>148</v>
      </c>
      <c r="J3735" s="6" t="s">
        <v>162</v>
      </c>
      <c r="K3735" s="7">
        <v>43612</v>
      </c>
      <c r="L3735" s="8">
        <v>0.33333333333333331</v>
      </c>
      <c r="M3735" s="6" t="s">
        <v>163</v>
      </c>
      <c r="N3735" s="14" t="s">
        <v>21</v>
      </c>
      <c r="O3735" s="6" t="s">
        <v>22</v>
      </c>
    </row>
    <row r="3736" spans="1:15">
      <c r="A3736" s="6" t="s">
        <v>15</v>
      </c>
      <c r="B3736" s="6" t="str">
        <f>"FES1162691873"</f>
        <v>FES1162691873</v>
      </c>
      <c r="C3736" s="7">
        <v>43609</v>
      </c>
      <c r="D3736" s="6">
        <v>1</v>
      </c>
      <c r="E3736" s="6">
        <v>2170690224</v>
      </c>
      <c r="F3736" s="6" t="s">
        <v>16</v>
      </c>
      <c r="G3736" s="6" t="s">
        <v>17</v>
      </c>
      <c r="H3736" s="6" t="s">
        <v>17</v>
      </c>
      <c r="I3736" s="6" t="s">
        <v>18</v>
      </c>
      <c r="J3736" s="6" t="s">
        <v>160</v>
      </c>
      <c r="K3736" s="7">
        <v>43612</v>
      </c>
      <c r="L3736" s="8">
        <v>0.40902777777777777</v>
      </c>
      <c r="M3736" s="6" t="s">
        <v>100</v>
      </c>
      <c r="N3736" s="14" t="s">
        <v>21</v>
      </c>
      <c r="O3736" s="6" t="s">
        <v>22</v>
      </c>
    </row>
    <row r="3737" spans="1:15" hidden="1">
      <c r="A3737" s="6" t="s">
        <v>15</v>
      </c>
      <c r="B3737" s="6" t="str">
        <f>"FES1162691888"</f>
        <v>FES1162691888</v>
      </c>
      <c r="C3737" s="7">
        <v>43609</v>
      </c>
      <c r="D3737" s="6">
        <v>1</v>
      </c>
      <c r="E3737" s="6">
        <v>2170690236</v>
      </c>
      <c r="F3737" s="6" t="s">
        <v>16</v>
      </c>
      <c r="G3737" s="6" t="s">
        <v>17</v>
      </c>
      <c r="H3737" s="6" t="s">
        <v>141</v>
      </c>
      <c r="I3737" s="6" t="s">
        <v>142</v>
      </c>
      <c r="J3737" s="6" t="s">
        <v>228</v>
      </c>
      <c r="K3737" s="7">
        <v>43612</v>
      </c>
      <c r="L3737" s="8">
        <v>0.40138888888888885</v>
      </c>
      <c r="M3737" s="6" t="s">
        <v>229</v>
      </c>
      <c r="N3737" s="14" t="s">
        <v>21</v>
      </c>
      <c r="O3737" s="6" t="s">
        <v>22</v>
      </c>
    </row>
    <row r="3738" spans="1:15" hidden="1">
      <c r="A3738" s="6" t="s">
        <v>15</v>
      </c>
      <c r="B3738" s="6" t="str">
        <f>"FES1162691858"</f>
        <v>FES1162691858</v>
      </c>
      <c r="C3738" s="7">
        <v>43609</v>
      </c>
      <c r="D3738" s="6">
        <v>1</v>
      </c>
      <c r="E3738" s="6">
        <v>2170689863</v>
      </c>
      <c r="F3738" s="6" t="s">
        <v>16</v>
      </c>
      <c r="G3738" s="6" t="s">
        <v>17</v>
      </c>
      <c r="H3738" s="6" t="s">
        <v>141</v>
      </c>
      <c r="I3738" s="6" t="s">
        <v>142</v>
      </c>
      <c r="J3738" s="6" t="s">
        <v>195</v>
      </c>
      <c r="K3738" s="7">
        <v>43612</v>
      </c>
      <c r="L3738" s="8">
        <v>0.3215277777777778</v>
      </c>
      <c r="M3738" s="6" t="s">
        <v>2412</v>
      </c>
      <c r="N3738" s="14" t="s">
        <v>21</v>
      </c>
      <c r="O3738" s="6" t="s">
        <v>22</v>
      </c>
    </row>
    <row r="3739" spans="1:15" hidden="1">
      <c r="A3739" s="6" t="s">
        <v>15</v>
      </c>
      <c r="B3739" s="6" t="str">
        <f>"FES1162691881"</f>
        <v>FES1162691881</v>
      </c>
      <c r="C3739" s="7">
        <v>43609</v>
      </c>
      <c r="D3739" s="6">
        <v>1</v>
      </c>
      <c r="E3739" s="6">
        <v>2170690232</v>
      </c>
      <c r="F3739" s="6" t="s">
        <v>16</v>
      </c>
      <c r="G3739" s="6" t="s">
        <v>17</v>
      </c>
      <c r="H3739" s="6" t="s">
        <v>425</v>
      </c>
      <c r="I3739" s="6" t="s">
        <v>426</v>
      </c>
      <c r="J3739" s="6" t="s">
        <v>783</v>
      </c>
      <c r="K3739" s="7">
        <v>43612</v>
      </c>
      <c r="L3739" s="8">
        <v>0.41736111111111113</v>
      </c>
      <c r="M3739" s="6" t="s">
        <v>937</v>
      </c>
      <c r="N3739" s="14" t="s">
        <v>21</v>
      </c>
      <c r="O3739" s="6" t="s">
        <v>22</v>
      </c>
    </row>
    <row r="3740" spans="1:15" hidden="1">
      <c r="A3740" s="6" t="s">
        <v>15</v>
      </c>
      <c r="B3740" s="6" t="str">
        <f>"FES1162691762"</f>
        <v>FES1162691762</v>
      </c>
      <c r="C3740" s="7">
        <v>43609</v>
      </c>
      <c r="D3740" s="6">
        <v>1</v>
      </c>
      <c r="E3740" s="6">
        <v>217069328</v>
      </c>
      <c r="F3740" s="6" t="s">
        <v>16</v>
      </c>
      <c r="G3740" s="6" t="s">
        <v>17</v>
      </c>
      <c r="H3740" s="6" t="s">
        <v>43</v>
      </c>
      <c r="I3740" s="6" t="s">
        <v>75</v>
      </c>
      <c r="J3740" s="6" t="s">
        <v>222</v>
      </c>
      <c r="K3740" s="7">
        <v>43612</v>
      </c>
      <c r="L3740" s="8">
        <v>0.45416666666666666</v>
      </c>
      <c r="M3740" s="6" t="s">
        <v>2515</v>
      </c>
      <c r="N3740" s="14" t="s">
        <v>21</v>
      </c>
      <c r="O3740" s="6" t="s">
        <v>22</v>
      </c>
    </row>
    <row r="3741" spans="1:15">
      <c r="A3741" s="6" t="s">
        <v>15</v>
      </c>
      <c r="B3741" s="6" t="str">
        <f>"RFES1162691334"</f>
        <v>RFES1162691334</v>
      </c>
      <c r="C3741" s="7">
        <v>43609</v>
      </c>
      <c r="D3741" s="6">
        <v>1</v>
      </c>
      <c r="E3741" s="6">
        <v>2170674384</v>
      </c>
      <c r="F3741" s="6" t="s">
        <v>16</v>
      </c>
      <c r="G3741" s="6" t="s">
        <v>17</v>
      </c>
      <c r="H3741" s="6" t="s">
        <v>17</v>
      </c>
      <c r="I3741" s="6" t="s">
        <v>64</v>
      </c>
      <c r="J3741" s="6" t="s">
        <v>476</v>
      </c>
      <c r="K3741" s="7">
        <v>43612</v>
      </c>
      <c r="L3741" s="8">
        <v>0.36527777777777781</v>
      </c>
      <c r="M3741" s="6" t="s">
        <v>477</v>
      </c>
      <c r="N3741" s="14" t="s">
        <v>21</v>
      </c>
      <c r="O3741" s="6" t="s">
        <v>22</v>
      </c>
    </row>
    <row r="3742" spans="1:15">
      <c r="A3742" s="6" t="s">
        <v>15</v>
      </c>
      <c r="B3742" s="6" t="str">
        <f>"019911311351"</f>
        <v>019911311351</v>
      </c>
      <c r="C3742" s="7">
        <v>43609</v>
      </c>
      <c r="D3742" s="6">
        <v>1</v>
      </c>
      <c r="E3742" s="6" t="s">
        <v>1060</v>
      </c>
      <c r="F3742" s="6" t="s">
        <v>16</v>
      </c>
      <c r="G3742" s="6" t="s">
        <v>43</v>
      </c>
      <c r="H3742" s="6" t="s">
        <v>17</v>
      </c>
      <c r="I3742" s="6" t="s">
        <v>64</v>
      </c>
      <c r="J3742" s="6" t="s">
        <v>1062</v>
      </c>
      <c r="K3742" s="7">
        <v>43612</v>
      </c>
      <c r="L3742" s="8">
        <v>0.36527777777777781</v>
      </c>
      <c r="M3742" s="6" t="s">
        <v>477</v>
      </c>
      <c r="N3742" s="14" t="s">
        <v>21</v>
      </c>
      <c r="O3742" s="6" t="s">
        <v>22</v>
      </c>
    </row>
    <row r="3743" spans="1:15" hidden="1">
      <c r="A3743" s="6" t="s">
        <v>15</v>
      </c>
      <c r="B3743" s="6" t="str">
        <f>"009938887379"</f>
        <v>009938887379</v>
      </c>
      <c r="C3743" s="7">
        <v>43609</v>
      </c>
      <c r="D3743" s="6">
        <v>1</v>
      </c>
      <c r="E3743" s="6" t="s">
        <v>1060</v>
      </c>
      <c r="F3743" s="6" t="s">
        <v>58</v>
      </c>
      <c r="G3743" s="6" t="s">
        <v>43</v>
      </c>
      <c r="H3743" s="6" t="s">
        <v>59</v>
      </c>
      <c r="I3743" s="6" t="s">
        <v>64</v>
      </c>
      <c r="J3743" s="6" t="s">
        <v>1061</v>
      </c>
      <c r="K3743" s="7">
        <v>43612</v>
      </c>
      <c r="L3743" s="8">
        <v>0.36874999999999997</v>
      </c>
      <c r="M3743" s="6" t="s">
        <v>477</v>
      </c>
      <c r="N3743" s="14" t="s">
        <v>21</v>
      </c>
      <c r="O3743" s="6" t="s">
        <v>22</v>
      </c>
    </row>
    <row r="3744" spans="1:15" ht="15.75" thickBot="1">
      <c r="A3744" s="11" t="s">
        <v>15</v>
      </c>
      <c r="B3744" s="11" t="str">
        <f>"049901310590"</f>
        <v>049901310590</v>
      </c>
      <c r="C3744" s="12">
        <v>43609</v>
      </c>
      <c r="D3744" s="11">
        <v>1</v>
      </c>
      <c r="E3744" s="11" t="s">
        <v>1060</v>
      </c>
      <c r="F3744" s="11" t="s">
        <v>16</v>
      </c>
      <c r="G3744" s="11" t="s">
        <v>32</v>
      </c>
      <c r="H3744" s="11" t="s">
        <v>17</v>
      </c>
      <c r="I3744" s="11" t="s">
        <v>64</v>
      </c>
      <c r="J3744" s="11" t="s">
        <v>1061</v>
      </c>
      <c r="K3744" s="12">
        <v>43612</v>
      </c>
      <c r="L3744" s="13">
        <v>0.36527777777777781</v>
      </c>
      <c r="M3744" s="11" t="s">
        <v>477</v>
      </c>
      <c r="N3744" s="11" t="s">
        <v>21</v>
      </c>
      <c r="O3744" s="11" t="s">
        <v>22</v>
      </c>
    </row>
    <row r="3745" spans="1:15">
      <c r="A3745" s="3" t="s">
        <v>15</v>
      </c>
      <c r="B3745" s="3" t="str">
        <f>"080002311955"</f>
        <v>080002311955</v>
      </c>
      <c r="C3745" s="4">
        <v>43612</v>
      </c>
      <c r="D3745" s="3">
        <v>1</v>
      </c>
      <c r="E3745" s="3" t="s">
        <v>1060</v>
      </c>
      <c r="F3745" s="3" t="s">
        <v>16</v>
      </c>
      <c r="G3745" s="3" t="s">
        <v>59</v>
      </c>
      <c r="H3745" s="3" t="s">
        <v>17</v>
      </c>
      <c r="I3745" s="3" t="s">
        <v>18</v>
      </c>
      <c r="J3745" s="3" t="s">
        <v>4349</v>
      </c>
      <c r="K3745" s="4">
        <v>43613</v>
      </c>
      <c r="L3745" s="5">
        <v>0.34861111111111115</v>
      </c>
      <c r="M3745" s="3" t="s">
        <v>481</v>
      </c>
      <c r="N3745" s="20" t="s">
        <v>21</v>
      </c>
      <c r="O3745" s="3" t="s">
        <v>22</v>
      </c>
    </row>
    <row r="3746" spans="1:15">
      <c r="A3746" s="6" t="s">
        <v>15</v>
      </c>
      <c r="B3746" s="6" t="str">
        <f>"080002312029"</f>
        <v>080002312029</v>
      </c>
      <c r="C3746" s="7">
        <v>43612</v>
      </c>
      <c r="D3746" s="6">
        <v>1</v>
      </c>
      <c r="E3746" s="6" t="s">
        <v>1060</v>
      </c>
      <c r="F3746" s="6" t="s">
        <v>16</v>
      </c>
      <c r="G3746" s="6" t="s">
        <v>59</v>
      </c>
      <c r="H3746" s="6" t="s">
        <v>17</v>
      </c>
      <c r="I3746" s="6" t="s">
        <v>18</v>
      </c>
      <c r="J3746" s="6" t="s">
        <v>4350</v>
      </c>
      <c r="K3746" s="7">
        <v>43613</v>
      </c>
      <c r="L3746" s="8">
        <v>0.40763888888888888</v>
      </c>
      <c r="M3746" s="6" t="s">
        <v>163</v>
      </c>
      <c r="N3746" s="14" t="s">
        <v>21</v>
      </c>
      <c r="O3746" s="6" t="s">
        <v>22</v>
      </c>
    </row>
    <row r="3747" spans="1:15" hidden="1">
      <c r="A3747" t="s">
        <v>15</v>
      </c>
      <c r="B3747" t="str">
        <f>"009938589598"</f>
        <v>009938589598</v>
      </c>
      <c r="C3747" s="9">
        <v>43612</v>
      </c>
      <c r="D3747">
        <v>1</v>
      </c>
      <c r="E3747" t="s">
        <v>22</v>
      </c>
      <c r="F3747" t="s">
        <v>58</v>
      </c>
      <c r="G3747" t="s">
        <v>59</v>
      </c>
      <c r="H3747" t="s">
        <v>59</v>
      </c>
      <c r="I3747" t="s">
        <v>64</v>
      </c>
      <c r="J3747" t="s">
        <v>1061</v>
      </c>
      <c r="K3747" s="9">
        <v>43613</v>
      </c>
      <c r="L3747" s="10">
        <v>0.39930555555555558</v>
      </c>
      <c r="M3747" t="s">
        <v>2037</v>
      </c>
      <c r="N3747" t="s">
        <v>4351</v>
      </c>
      <c r="O3747" t="s">
        <v>22</v>
      </c>
    </row>
    <row r="3748" spans="1:15" hidden="1">
      <c r="A3748" t="s">
        <v>15</v>
      </c>
      <c r="B3748" t="str">
        <f>"FES1162691924"</f>
        <v>FES1162691924</v>
      </c>
      <c r="C3748" s="9">
        <v>43612</v>
      </c>
      <c r="D3748">
        <v>1</v>
      </c>
      <c r="E3748">
        <v>217069025</v>
      </c>
      <c r="F3748" t="s">
        <v>16</v>
      </c>
      <c r="G3748" t="s">
        <v>17</v>
      </c>
      <c r="H3748" t="s">
        <v>43</v>
      </c>
      <c r="I3748" t="s">
        <v>44</v>
      </c>
      <c r="J3748" t="s">
        <v>3856</v>
      </c>
      <c r="K3748" s="9">
        <v>43613</v>
      </c>
      <c r="L3748" s="10">
        <v>0.37777777777777777</v>
      </c>
      <c r="M3748" t="s">
        <v>4352</v>
      </c>
      <c r="N3748" t="s">
        <v>4353</v>
      </c>
      <c r="O3748" t="s">
        <v>22</v>
      </c>
    </row>
    <row r="3749" spans="1:15" hidden="1">
      <c r="A3749" t="s">
        <v>15</v>
      </c>
      <c r="B3749" t="str">
        <f>"FES1162691921"</f>
        <v>FES1162691921</v>
      </c>
      <c r="C3749" s="9">
        <v>43612</v>
      </c>
      <c r="D3749">
        <v>1</v>
      </c>
      <c r="E3749">
        <v>2170690245</v>
      </c>
      <c r="F3749" t="s">
        <v>16</v>
      </c>
      <c r="G3749" t="s">
        <v>17</v>
      </c>
      <c r="H3749" t="s">
        <v>43</v>
      </c>
      <c r="I3749" t="s">
        <v>44</v>
      </c>
      <c r="J3749" t="s">
        <v>4278</v>
      </c>
      <c r="K3749" s="9">
        <v>43613</v>
      </c>
      <c r="L3749" s="10">
        <v>0.41736111111111113</v>
      </c>
      <c r="M3749" t="s">
        <v>4354</v>
      </c>
      <c r="N3749" t="s">
        <v>4355</v>
      </c>
      <c r="O3749" t="s">
        <v>22</v>
      </c>
    </row>
    <row r="3750" spans="1:15" hidden="1">
      <c r="A3750" t="s">
        <v>15</v>
      </c>
      <c r="B3750" t="str">
        <f>"FES1162691935"</f>
        <v>FES1162691935</v>
      </c>
      <c r="C3750" s="9">
        <v>43612</v>
      </c>
      <c r="D3750">
        <v>1</v>
      </c>
      <c r="E3750">
        <v>2170690273</v>
      </c>
      <c r="F3750" t="s">
        <v>16</v>
      </c>
      <c r="G3750" t="s">
        <v>17</v>
      </c>
      <c r="H3750" t="s">
        <v>43</v>
      </c>
      <c r="I3750" t="s">
        <v>738</v>
      </c>
      <c r="J3750" t="s">
        <v>739</v>
      </c>
      <c r="K3750" s="9">
        <v>43613</v>
      </c>
      <c r="L3750" s="10">
        <v>0.3666666666666667</v>
      </c>
      <c r="M3750" t="s">
        <v>4356</v>
      </c>
      <c r="N3750" t="s">
        <v>4357</v>
      </c>
      <c r="O3750" t="s">
        <v>22</v>
      </c>
    </row>
    <row r="3751" spans="1:15" hidden="1">
      <c r="A3751" t="s">
        <v>15</v>
      </c>
      <c r="B3751" t="str">
        <f>"FES1162691904"</f>
        <v>FES1162691904</v>
      </c>
      <c r="C3751" s="9">
        <v>43612</v>
      </c>
      <c r="D3751">
        <v>1</v>
      </c>
      <c r="E3751">
        <v>2170688082</v>
      </c>
      <c r="F3751" t="s">
        <v>16</v>
      </c>
      <c r="G3751" t="s">
        <v>17</v>
      </c>
      <c r="H3751" t="s">
        <v>32</v>
      </c>
      <c r="I3751" t="s">
        <v>33</v>
      </c>
      <c r="J3751" t="s">
        <v>778</v>
      </c>
      <c r="K3751" s="9">
        <v>43613</v>
      </c>
      <c r="L3751" s="10">
        <v>0.39583333333333331</v>
      </c>
      <c r="M3751" t="s">
        <v>3308</v>
      </c>
      <c r="N3751" t="s">
        <v>4358</v>
      </c>
      <c r="O3751" t="s">
        <v>22</v>
      </c>
    </row>
    <row r="3752" spans="1:15" hidden="1">
      <c r="A3752" t="s">
        <v>15</v>
      </c>
      <c r="B3752" t="str">
        <f>"FES1162692009"</f>
        <v>FES1162692009</v>
      </c>
      <c r="C3752" s="9">
        <v>43612</v>
      </c>
      <c r="D3752">
        <v>1</v>
      </c>
      <c r="E3752">
        <v>217090373</v>
      </c>
      <c r="F3752" t="s">
        <v>16</v>
      </c>
      <c r="G3752" t="s">
        <v>17</v>
      </c>
      <c r="H3752" t="s">
        <v>32</v>
      </c>
      <c r="I3752" t="s">
        <v>342</v>
      </c>
      <c r="J3752" t="s">
        <v>949</v>
      </c>
      <c r="K3752" s="9">
        <v>43613</v>
      </c>
      <c r="L3752" s="10">
        <v>0.37847222222222227</v>
      </c>
      <c r="M3752" t="s">
        <v>2459</v>
      </c>
      <c r="N3752" t="s">
        <v>4359</v>
      </c>
      <c r="O3752" t="s">
        <v>22</v>
      </c>
    </row>
    <row r="3753" spans="1:15" hidden="1">
      <c r="A3753" t="s">
        <v>15</v>
      </c>
      <c r="B3753" t="str">
        <f>"FES1162691901"</f>
        <v>FES1162691901</v>
      </c>
      <c r="C3753" s="9">
        <v>43612</v>
      </c>
      <c r="D3753">
        <v>1</v>
      </c>
      <c r="E3753">
        <v>217087820</v>
      </c>
      <c r="F3753" t="s">
        <v>16</v>
      </c>
      <c r="G3753" t="s">
        <v>17</v>
      </c>
      <c r="H3753" t="s">
        <v>43</v>
      </c>
      <c r="I3753" t="s">
        <v>44</v>
      </c>
      <c r="J3753" t="s">
        <v>860</v>
      </c>
      <c r="K3753" s="9">
        <v>43613</v>
      </c>
      <c r="L3753" s="10">
        <v>0.34236111111111112</v>
      </c>
      <c r="M3753" t="s">
        <v>861</v>
      </c>
      <c r="N3753" t="s">
        <v>4360</v>
      </c>
      <c r="O3753" t="s">
        <v>22</v>
      </c>
    </row>
    <row r="3754" spans="1:15">
      <c r="A3754" s="6" t="s">
        <v>15</v>
      </c>
      <c r="B3754" s="6" t="str">
        <f>"FES1162691898"</f>
        <v>FES1162691898</v>
      </c>
      <c r="C3754" s="7">
        <v>43612</v>
      </c>
      <c r="D3754" s="6">
        <v>1</v>
      </c>
      <c r="E3754" s="6">
        <v>2170687384</v>
      </c>
      <c r="F3754" s="6" t="s">
        <v>16</v>
      </c>
      <c r="G3754" s="6" t="s">
        <v>17</v>
      </c>
      <c r="H3754" s="6" t="s">
        <v>17</v>
      </c>
      <c r="I3754" s="6" t="s">
        <v>18</v>
      </c>
      <c r="J3754" s="6" t="s">
        <v>19</v>
      </c>
      <c r="K3754" s="7">
        <v>43613</v>
      </c>
      <c r="L3754" s="8">
        <v>0.37152777777777773</v>
      </c>
      <c r="M3754" s="6" t="s">
        <v>1327</v>
      </c>
      <c r="N3754" s="14" t="s">
        <v>21</v>
      </c>
      <c r="O3754" s="6" t="s">
        <v>22</v>
      </c>
    </row>
    <row r="3755" spans="1:15" hidden="1">
      <c r="A3755" t="s">
        <v>15</v>
      </c>
      <c r="B3755" t="str">
        <f>"FES1162691915"</f>
        <v>FES1162691915</v>
      </c>
      <c r="C3755" s="9">
        <v>43612</v>
      </c>
      <c r="D3755">
        <v>1</v>
      </c>
      <c r="E3755">
        <v>2170690011</v>
      </c>
      <c r="F3755" t="s">
        <v>16</v>
      </c>
      <c r="G3755" t="s">
        <v>17</v>
      </c>
      <c r="H3755" t="s">
        <v>43</v>
      </c>
      <c r="I3755" t="s">
        <v>44</v>
      </c>
      <c r="J3755" t="s">
        <v>176</v>
      </c>
      <c r="K3755" s="9">
        <v>43613</v>
      </c>
      <c r="L3755" s="10">
        <v>0.31388888888888888</v>
      </c>
      <c r="M3755" t="s">
        <v>3875</v>
      </c>
      <c r="N3755" t="s">
        <v>4361</v>
      </c>
      <c r="O3755" t="s">
        <v>22</v>
      </c>
    </row>
    <row r="3756" spans="1:15" hidden="1">
      <c r="A3756" t="s">
        <v>15</v>
      </c>
      <c r="B3756" t="str">
        <f>"FES1162691954"</f>
        <v>FES1162691954</v>
      </c>
      <c r="C3756" s="9">
        <v>43612</v>
      </c>
      <c r="D3756">
        <v>1</v>
      </c>
      <c r="E3756">
        <v>217069308</v>
      </c>
      <c r="F3756" t="s">
        <v>16</v>
      </c>
      <c r="G3756" t="s">
        <v>17</v>
      </c>
      <c r="H3756" t="s">
        <v>32</v>
      </c>
      <c r="I3756" t="s">
        <v>33</v>
      </c>
      <c r="J3756" t="s">
        <v>360</v>
      </c>
      <c r="K3756" s="9">
        <v>43613</v>
      </c>
      <c r="L3756" s="10">
        <v>0.3611111111111111</v>
      </c>
      <c r="M3756" t="s">
        <v>361</v>
      </c>
      <c r="N3756" t="s">
        <v>4362</v>
      </c>
      <c r="O3756" t="s">
        <v>22</v>
      </c>
    </row>
    <row r="3757" spans="1:15" hidden="1">
      <c r="A3757" t="s">
        <v>15</v>
      </c>
      <c r="B3757" t="str">
        <f>"FES1162691961"</f>
        <v>FES1162691961</v>
      </c>
      <c r="C3757" s="9">
        <v>43612</v>
      </c>
      <c r="D3757">
        <v>1</v>
      </c>
      <c r="E3757">
        <v>2170690317</v>
      </c>
      <c r="F3757" t="s">
        <v>16</v>
      </c>
      <c r="G3757" t="s">
        <v>17</v>
      </c>
      <c r="H3757" t="s">
        <v>32</v>
      </c>
      <c r="I3757" t="s">
        <v>342</v>
      </c>
      <c r="J3757" t="s">
        <v>726</v>
      </c>
      <c r="K3757" s="9">
        <v>43613</v>
      </c>
      <c r="L3757" s="10">
        <v>0.3888888888888889</v>
      </c>
      <c r="M3757" t="s">
        <v>4363</v>
      </c>
      <c r="N3757" t="s">
        <v>4364</v>
      </c>
      <c r="O3757" t="s">
        <v>22</v>
      </c>
    </row>
    <row r="3758" spans="1:15">
      <c r="A3758" s="6" t="s">
        <v>15</v>
      </c>
      <c r="B3758" s="6" t="str">
        <f>"FES1162691984"</f>
        <v>FES1162691984</v>
      </c>
      <c r="C3758" s="7">
        <v>43612</v>
      </c>
      <c r="D3758" s="6">
        <v>1</v>
      </c>
      <c r="E3758" s="6">
        <v>2170690350</v>
      </c>
      <c r="F3758" s="6" t="s">
        <v>16</v>
      </c>
      <c r="G3758" s="6" t="s">
        <v>17</v>
      </c>
      <c r="H3758" s="6" t="s">
        <v>17</v>
      </c>
      <c r="I3758" s="6" t="s">
        <v>23</v>
      </c>
      <c r="J3758" s="6" t="s">
        <v>914</v>
      </c>
      <c r="K3758" s="7">
        <v>43613</v>
      </c>
      <c r="L3758" s="8">
        <v>0.33333333333333331</v>
      </c>
      <c r="M3758" s="6" t="s">
        <v>915</v>
      </c>
      <c r="N3758" s="14" t="s">
        <v>21</v>
      </c>
      <c r="O3758" s="6" t="s">
        <v>22</v>
      </c>
    </row>
    <row r="3759" spans="1:15" hidden="1">
      <c r="A3759" t="s">
        <v>15</v>
      </c>
      <c r="B3759" t="str">
        <f>"FES1162691927"</f>
        <v>FES1162691927</v>
      </c>
      <c r="C3759" s="9">
        <v>43612</v>
      </c>
      <c r="D3759">
        <v>1</v>
      </c>
      <c r="E3759">
        <v>217069259</v>
      </c>
      <c r="F3759" t="s">
        <v>16</v>
      </c>
      <c r="G3759" t="s">
        <v>17</v>
      </c>
      <c r="H3759" t="s">
        <v>32</v>
      </c>
      <c r="I3759" t="s">
        <v>342</v>
      </c>
      <c r="J3759" t="s">
        <v>549</v>
      </c>
      <c r="K3759" s="9">
        <v>43613</v>
      </c>
      <c r="L3759" s="10">
        <v>0.40486111111111112</v>
      </c>
      <c r="M3759" t="s">
        <v>3480</v>
      </c>
      <c r="N3759" t="s">
        <v>4365</v>
      </c>
      <c r="O3759" t="s">
        <v>22</v>
      </c>
    </row>
    <row r="3760" spans="1:15" hidden="1">
      <c r="A3760" t="s">
        <v>15</v>
      </c>
      <c r="B3760" t="str">
        <f>"FES1162691966"</f>
        <v>FES1162691966</v>
      </c>
      <c r="C3760" s="9">
        <v>43612</v>
      </c>
      <c r="D3760">
        <v>1</v>
      </c>
      <c r="E3760">
        <v>2170690322</v>
      </c>
      <c r="F3760" t="s">
        <v>16</v>
      </c>
      <c r="G3760" t="s">
        <v>17</v>
      </c>
      <c r="H3760" t="s">
        <v>32</v>
      </c>
      <c r="I3760" t="s">
        <v>33</v>
      </c>
      <c r="J3760" t="s">
        <v>1774</v>
      </c>
      <c r="K3760" s="9">
        <v>43613</v>
      </c>
      <c r="L3760" s="10">
        <v>0.41666666666666669</v>
      </c>
      <c r="M3760" t="s">
        <v>4366</v>
      </c>
      <c r="N3760" t="s">
        <v>4367</v>
      </c>
      <c r="O3760" t="s">
        <v>22</v>
      </c>
    </row>
    <row r="3761" spans="1:15" hidden="1">
      <c r="A3761" t="s">
        <v>15</v>
      </c>
      <c r="B3761" t="str">
        <f>"FES1162691953"</f>
        <v>FES1162691953</v>
      </c>
      <c r="C3761" s="9">
        <v>43612</v>
      </c>
      <c r="D3761">
        <v>1</v>
      </c>
      <c r="E3761">
        <v>217060306</v>
      </c>
      <c r="F3761" t="s">
        <v>16</v>
      </c>
      <c r="G3761" t="s">
        <v>17</v>
      </c>
      <c r="H3761" t="s">
        <v>32</v>
      </c>
      <c r="I3761" t="s">
        <v>33</v>
      </c>
      <c r="J3761" t="s">
        <v>2917</v>
      </c>
      <c r="K3761" s="9">
        <v>43613</v>
      </c>
      <c r="L3761" s="10">
        <v>0.3666666666666667</v>
      </c>
      <c r="M3761" t="s">
        <v>2918</v>
      </c>
      <c r="N3761" t="s">
        <v>4368</v>
      </c>
      <c r="O3761" t="s">
        <v>22</v>
      </c>
    </row>
    <row r="3762" spans="1:15" hidden="1">
      <c r="A3762" t="s">
        <v>15</v>
      </c>
      <c r="B3762" t="str">
        <f>"FES1162691920"</f>
        <v>FES1162691920</v>
      </c>
      <c r="C3762" s="9">
        <v>43612</v>
      </c>
      <c r="D3762">
        <v>1</v>
      </c>
      <c r="E3762">
        <v>2170690244</v>
      </c>
      <c r="F3762" t="s">
        <v>16</v>
      </c>
      <c r="G3762" t="s">
        <v>17</v>
      </c>
      <c r="H3762" t="s">
        <v>32</v>
      </c>
      <c r="I3762" t="s">
        <v>33</v>
      </c>
      <c r="J3762" t="s">
        <v>357</v>
      </c>
      <c r="K3762" s="9">
        <v>43613</v>
      </c>
      <c r="L3762" s="10">
        <v>0.43402777777777773</v>
      </c>
      <c r="M3762" t="s">
        <v>3033</v>
      </c>
      <c r="N3762" t="s">
        <v>4369</v>
      </c>
      <c r="O3762" t="s">
        <v>22</v>
      </c>
    </row>
    <row r="3763" spans="1:15" hidden="1">
      <c r="A3763" t="s">
        <v>15</v>
      </c>
      <c r="B3763" t="str">
        <f>"FES1162691962"</f>
        <v>FES1162691962</v>
      </c>
      <c r="C3763" s="9">
        <v>43612</v>
      </c>
      <c r="D3763">
        <v>1</v>
      </c>
      <c r="E3763">
        <v>2170690319</v>
      </c>
      <c r="F3763" t="s">
        <v>16</v>
      </c>
      <c r="G3763" t="s">
        <v>17</v>
      </c>
      <c r="H3763" t="s">
        <v>32</v>
      </c>
      <c r="I3763" t="s">
        <v>33</v>
      </c>
      <c r="J3763" t="s">
        <v>1774</v>
      </c>
      <c r="K3763" s="9">
        <v>43613</v>
      </c>
      <c r="L3763" s="10">
        <v>0.41666666666666669</v>
      </c>
      <c r="M3763" t="s">
        <v>1775</v>
      </c>
      <c r="N3763" t="s">
        <v>4370</v>
      </c>
      <c r="O3763" t="s">
        <v>22</v>
      </c>
    </row>
    <row r="3764" spans="1:15" hidden="1">
      <c r="A3764" t="s">
        <v>15</v>
      </c>
      <c r="B3764" t="str">
        <f>"FES1162691896"</f>
        <v>FES1162691896</v>
      </c>
      <c r="C3764" s="9">
        <v>43612</v>
      </c>
      <c r="D3764">
        <v>1</v>
      </c>
      <c r="E3764">
        <v>2170689292</v>
      </c>
      <c r="F3764" t="s">
        <v>16</v>
      </c>
      <c r="G3764" t="s">
        <v>17</v>
      </c>
      <c r="H3764" t="s">
        <v>32</v>
      </c>
      <c r="I3764" t="s">
        <v>342</v>
      </c>
      <c r="J3764" t="s">
        <v>1340</v>
      </c>
      <c r="K3764" s="9">
        <v>43613</v>
      </c>
      <c r="L3764" s="10">
        <v>0.42083333333333334</v>
      </c>
      <c r="M3764" t="s">
        <v>3480</v>
      </c>
      <c r="N3764" t="s">
        <v>4371</v>
      </c>
      <c r="O3764" t="s">
        <v>22</v>
      </c>
    </row>
    <row r="3765" spans="1:15" hidden="1">
      <c r="A3765" t="s">
        <v>15</v>
      </c>
      <c r="B3765" t="str">
        <f>"FES1162691918"</f>
        <v>FES1162691918</v>
      </c>
      <c r="C3765" s="9">
        <v>43612</v>
      </c>
      <c r="D3765">
        <v>1</v>
      </c>
      <c r="E3765">
        <v>217069239</v>
      </c>
      <c r="F3765" t="s">
        <v>16</v>
      </c>
      <c r="G3765" t="s">
        <v>17</v>
      </c>
      <c r="H3765" t="s">
        <v>37</v>
      </c>
      <c r="I3765" t="s">
        <v>38</v>
      </c>
      <c r="J3765" t="s">
        <v>349</v>
      </c>
      <c r="K3765" s="9">
        <v>43613</v>
      </c>
      <c r="L3765" s="10">
        <v>0.40277777777777773</v>
      </c>
      <c r="M3765" t="s">
        <v>350</v>
      </c>
      <c r="N3765" t="s">
        <v>4372</v>
      </c>
      <c r="O3765" t="s">
        <v>22</v>
      </c>
    </row>
    <row r="3766" spans="1:15" hidden="1">
      <c r="A3766" t="s">
        <v>15</v>
      </c>
      <c r="B3766" t="str">
        <f>"FES1162691960"</f>
        <v>FES1162691960</v>
      </c>
      <c r="C3766" s="9">
        <v>43612</v>
      </c>
      <c r="D3766">
        <v>1</v>
      </c>
      <c r="E3766">
        <v>2170690136</v>
      </c>
      <c r="F3766" t="s">
        <v>16</v>
      </c>
      <c r="G3766" t="s">
        <v>17</v>
      </c>
      <c r="H3766" t="s">
        <v>43</v>
      </c>
      <c r="I3766" t="s">
        <v>44</v>
      </c>
      <c r="J3766" t="s">
        <v>48</v>
      </c>
      <c r="K3766" s="9">
        <v>43613</v>
      </c>
      <c r="L3766" s="10">
        <v>0.33263888888888887</v>
      </c>
      <c r="M3766" t="s">
        <v>4373</v>
      </c>
      <c r="N3766" t="s">
        <v>4374</v>
      </c>
      <c r="O3766" t="s">
        <v>22</v>
      </c>
    </row>
    <row r="3767" spans="1:15">
      <c r="A3767" s="6" t="s">
        <v>15</v>
      </c>
      <c r="B3767" s="6" t="str">
        <f>"FES1162691942"</f>
        <v>FES1162691942</v>
      </c>
      <c r="C3767" s="7">
        <v>43612</v>
      </c>
      <c r="D3767" s="6">
        <v>1</v>
      </c>
      <c r="E3767" s="6">
        <v>2170690292</v>
      </c>
      <c r="F3767" s="6" t="s">
        <v>16</v>
      </c>
      <c r="G3767" s="6" t="s">
        <v>17</v>
      </c>
      <c r="H3767" s="6" t="s">
        <v>17</v>
      </c>
      <c r="I3767" s="6" t="s">
        <v>64</v>
      </c>
      <c r="J3767" s="6" t="s">
        <v>1098</v>
      </c>
      <c r="K3767" s="7">
        <v>43614</v>
      </c>
      <c r="L3767" s="8">
        <v>0.40972222222222227</v>
      </c>
      <c r="M3767" s="6" t="s">
        <v>100</v>
      </c>
      <c r="N3767" s="14" t="s">
        <v>21</v>
      </c>
      <c r="O3767" s="6" t="s">
        <v>22</v>
      </c>
    </row>
    <row r="3768" spans="1:15" hidden="1">
      <c r="A3768" t="s">
        <v>15</v>
      </c>
      <c r="B3768" t="str">
        <f>"FES1162691911"</f>
        <v>FES1162691911</v>
      </c>
      <c r="C3768" s="9">
        <v>43612</v>
      </c>
      <c r="D3768">
        <v>1</v>
      </c>
      <c r="E3768">
        <v>2170689542</v>
      </c>
      <c r="F3768" t="s">
        <v>16</v>
      </c>
      <c r="G3768" t="s">
        <v>17</v>
      </c>
      <c r="H3768" t="s">
        <v>132</v>
      </c>
      <c r="I3768" t="s">
        <v>133</v>
      </c>
      <c r="J3768" t="s">
        <v>639</v>
      </c>
      <c r="K3768" s="9">
        <v>43613</v>
      </c>
      <c r="L3768" s="10">
        <v>0.39583333333333331</v>
      </c>
      <c r="M3768" t="s">
        <v>1931</v>
      </c>
      <c r="N3768" t="s">
        <v>4375</v>
      </c>
      <c r="O3768" t="s">
        <v>22</v>
      </c>
    </row>
    <row r="3769" spans="1:15" hidden="1">
      <c r="A3769" t="s">
        <v>15</v>
      </c>
      <c r="B3769" t="str">
        <f>"FES1162691943"</f>
        <v>FES1162691943</v>
      </c>
      <c r="C3769" s="9">
        <v>43612</v>
      </c>
      <c r="D3769">
        <v>1</v>
      </c>
      <c r="E3769">
        <v>2170690293</v>
      </c>
      <c r="F3769" t="s">
        <v>16</v>
      </c>
      <c r="G3769" t="s">
        <v>17</v>
      </c>
      <c r="H3769" t="s">
        <v>141</v>
      </c>
      <c r="I3769" t="s">
        <v>142</v>
      </c>
      <c r="J3769" t="s">
        <v>2157</v>
      </c>
      <c r="K3769" s="9">
        <v>43613</v>
      </c>
      <c r="L3769" s="10">
        <v>0.42430555555555555</v>
      </c>
      <c r="M3769" t="s">
        <v>4376</v>
      </c>
      <c r="N3769" t="s">
        <v>4377</v>
      </c>
      <c r="O3769" t="s">
        <v>22</v>
      </c>
    </row>
    <row r="3770" spans="1:15" hidden="1">
      <c r="A3770" t="s">
        <v>15</v>
      </c>
      <c r="B3770" t="str">
        <f>"FES1162691889"</f>
        <v>FES1162691889</v>
      </c>
      <c r="C3770" s="9">
        <v>43612</v>
      </c>
      <c r="D3770">
        <v>1</v>
      </c>
      <c r="E3770">
        <v>2170683407</v>
      </c>
      <c r="F3770" t="s">
        <v>16</v>
      </c>
      <c r="G3770" t="s">
        <v>17</v>
      </c>
      <c r="H3770" t="s">
        <v>141</v>
      </c>
      <c r="I3770" t="s">
        <v>142</v>
      </c>
      <c r="J3770" t="s">
        <v>195</v>
      </c>
      <c r="K3770" s="9">
        <v>43613</v>
      </c>
      <c r="L3770" s="10">
        <v>0.33611111111111108</v>
      </c>
      <c r="M3770" t="s">
        <v>2412</v>
      </c>
      <c r="N3770" t="s">
        <v>4378</v>
      </c>
      <c r="O3770" t="s">
        <v>22</v>
      </c>
    </row>
    <row r="3771" spans="1:15" hidden="1">
      <c r="A3771" t="s">
        <v>15</v>
      </c>
      <c r="B3771" t="str">
        <f>"FES1162691887"</f>
        <v>FES1162691887</v>
      </c>
      <c r="C3771" s="9">
        <v>43612</v>
      </c>
      <c r="D3771">
        <v>1</v>
      </c>
      <c r="E3771">
        <v>2170683403</v>
      </c>
      <c r="F3771" t="s">
        <v>16</v>
      </c>
      <c r="G3771" t="s">
        <v>17</v>
      </c>
      <c r="H3771" t="s">
        <v>141</v>
      </c>
      <c r="I3771" t="s">
        <v>142</v>
      </c>
      <c r="J3771" t="s">
        <v>195</v>
      </c>
      <c r="K3771" s="9">
        <v>43613</v>
      </c>
      <c r="L3771" s="10">
        <v>0.33611111111111108</v>
      </c>
      <c r="M3771" t="s">
        <v>2412</v>
      </c>
      <c r="N3771" t="s">
        <v>4379</v>
      </c>
      <c r="O3771" t="s">
        <v>22</v>
      </c>
    </row>
    <row r="3772" spans="1:15" hidden="1">
      <c r="A3772" t="s">
        <v>15</v>
      </c>
      <c r="B3772" t="str">
        <f>"FES1162691916"</f>
        <v>FES1162691916</v>
      </c>
      <c r="C3772" s="9">
        <v>43612</v>
      </c>
      <c r="D3772">
        <v>1</v>
      </c>
      <c r="E3772">
        <v>2170690235</v>
      </c>
      <c r="F3772" t="s">
        <v>16</v>
      </c>
      <c r="G3772" t="s">
        <v>17</v>
      </c>
      <c r="H3772" t="s">
        <v>290</v>
      </c>
      <c r="I3772" t="s">
        <v>291</v>
      </c>
      <c r="J3772" t="s">
        <v>1187</v>
      </c>
      <c r="K3772" s="9">
        <v>43613</v>
      </c>
      <c r="L3772" s="10">
        <v>0.3888888888888889</v>
      </c>
      <c r="M3772" t="s">
        <v>2560</v>
      </c>
      <c r="N3772" t="s">
        <v>4380</v>
      </c>
      <c r="O3772" t="s">
        <v>22</v>
      </c>
    </row>
    <row r="3773" spans="1:15" hidden="1">
      <c r="A3773" t="s">
        <v>15</v>
      </c>
      <c r="B3773" t="str">
        <f>"FES1162691982"</f>
        <v>FES1162691982</v>
      </c>
      <c r="C3773" s="9">
        <v>43612</v>
      </c>
      <c r="D3773">
        <v>1</v>
      </c>
      <c r="E3773">
        <v>2170690342</v>
      </c>
      <c r="F3773" t="s">
        <v>16</v>
      </c>
      <c r="G3773" t="s">
        <v>17</v>
      </c>
      <c r="H3773" t="s">
        <v>290</v>
      </c>
      <c r="I3773" t="s">
        <v>291</v>
      </c>
      <c r="J3773" t="s">
        <v>297</v>
      </c>
      <c r="K3773" s="9">
        <v>43613</v>
      </c>
      <c r="L3773" s="10">
        <v>0.34375</v>
      </c>
      <c r="M3773" t="s">
        <v>1291</v>
      </c>
      <c r="N3773" t="s">
        <v>4381</v>
      </c>
      <c r="O3773" t="s">
        <v>22</v>
      </c>
    </row>
    <row r="3774" spans="1:15" hidden="1">
      <c r="A3774" t="s">
        <v>15</v>
      </c>
      <c r="B3774" t="str">
        <f>"FES1162691928"</f>
        <v>FES1162691928</v>
      </c>
      <c r="C3774" s="9">
        <v>43612</v>
      </c>
      <c r="D3774">
        <v>1</v>
      </c>
      <c r="E3774">
        <v>2170690260</v>
      </c>
      <c r="F3774" t="s">
        <v>16</v>
      </c>
      <c r="G3774" t="s">
        <v>17</v>
      </c>
      <c r="H3774" t="s">
        <v>43</v>
      </c>
      <c r="I3774" t="s">
        <v>44</v>
      </c>
      <c r="J3774" t="s">
        <v>4279</v>
      </c>
      <c r="K3774" s="9">
        <v>43613</v>
      </c>
      <c r="L3774" s="10">
        <v>0.49722222222222223</v>
      </c>
      <c r="M3774" t="s">
        <v>1528</v>
      </c>
      <c r="N3774" t="s">
        <v>4382</v>
      </c>
      <c r="O3774" t="s">
        <v>22</v>
      </c>
    </row>
    <row r="3775" spans="1:15">
      <c r="A3775" s="6" t="s">
        <v>15</v>
      </c>
      <c r="B3775" s="6" t="str">
        <f>"FES1162691913"</f>
        <v>FES1162691913</v>
      </c>
      <c r="C3775" s="7">
        <v>43612</v>
      </c>
      <c r="D3775" s="6">
        <v>1</v>
      </c>
      <c r="E3775" s="6">
        <v>2170689853</v>
      </c>
      <c r="F3775" s="6" t="s">
        <v>16</v>
      </c>
      <c r="G3775" s="6" t="s">
        <v>17</v>
      </c>
      <c r="H3775" s="6" t="s">
        <v>17</v>
      </c>
      <c r="I3775" s="6" t="s">
        <v>64</v>
      </c>
      <c r="J3775" s="6" t="s">
        <v>4383</v>
      </c>
      <c r="K3775" s="7">
        <v>43613</v>
      </c>
      <c r="L3775" s="8">
        <v>0.34375</v>
      </c>
      <c r="M3775" s="6" t="s">
        <v>4384</v>
      </c>
      <c r="N3775" s="14" t="s">
        <v>21</v>
      </c>
      <c r="O3775" s="6" t="s">
        <v>22</v>
      </c>
    </row>
    <row r="3776" spans="1:15">
      <c r="A3776" s="6" t="s">
        <v>15</v>
      </c>
      <c r="B3776" s="6" t="str">
        <f>"FES1162691910"</f>
        <v>FES1162691910</v>
      </c>
      <c r="C3776" s="7">
        <v>43612</v>
      </c>
      <c r="D3776" s="6">
        <v>1</v>
      </c>
      <c r="E3776" s="6">
        <v>2170689347</v>
      </c>
      <c r="F3776" s="6" t="s">
        <v>16</v>
      </c>
      <c r="G3776" s="6" t="s">
        <v>17</v>
      </c>
      <c r="H3776" s="6" t="s">
        <v>17</v>
      </c>
      <c r="I3776" s="6" t="s">
        <v>64</v>
      </c>
      <c r="J3776" s="6" t="s">
        <v>513</v>
      </c>
      <c r="K3776" s="7">
        <v>43613</v>
      </c>
      <c r="L3776" s="8">
        <v>0.41666666666666669</v>
      </c>
      <c r="M3776" s="6" t="s">
        <v>2892</v>
      </c>
      <c r="N3776" s="14" t="s">
        <v>21</v>
      </c>
      <c r="O3776" s="6" t="s">
        <v>22</v>
      </c>
    </row>
    <row r="3777" spans="1:15" hidden="1">
      <c r="A3777" t="s">
        <v>15</v>
      </c>
      <c r="B3777" t="str">
        <f>"FES1162691993"</f>
        <v>FES1162691993</v>
      </c>
      <c r="C3777" s="9">
        <v>43612</v>
      </c>
      <c r="D3777">
        <v>1</v>
      </c>
      <c r="E3777">
        <v>2170690358</v>
      </c>
      <c r="F3777" t="s">
        <v>16</v>
      </c>
      <c r="G3777" t="s">
        <v>17</v>
      </c>
      <c r="H3777" t="s">
        <v>43</v>
      </c>
      <c r="I3777" t="s">
        <v>44</v>
      </c>
      <c r="J3777" t="s">
        <v>591</v>
      </c>
      <c r="K3777" s="9">
        <v>43613</v>
      </c>
      <c r="L3777" s="10">
        <v>0.32083333333333336</v>
      </c>
      <c r="M3777" t="s">
        <v>3545</v>
      </c>
      <c r="N3777" t="s">
        <v>4385</v>
      </c>
      <c r="O3777" t="s">
        <v>22</v>
      </c>
    </row>
    <row r="3778" spans="1:15" hidden="1">
      <c r="A3778" t="s">
        <v>15</v>
      </c>
      <c r="B3778" t="str">
        <f>"FES1162691940"</f>
        <v>FES1162691940</v>
      </c>
      <c r="C3778" s="9">
        <v>43612</v>
      </c>
      <c r="D3778">
        <v>1</v>
      </c>
      <c r="E3778">
        <v>2170690288</v>
      </c>
      <c r="F3778" t="s">
        <v>16</v>
      </c>
      <c r="G3778" t="s">
        <v>17</v>
      </c>
      <c r="H3778" t="s">
        <v>132</v>
      </c>
      <c r="I3778" t="s">
        <v>133</v>
      </c>
      <c r="J3778" t="s">
        <v>238</v>
      </c>
      <c r="K3778" s="9">
        <v>43613</v>
      </c>
      <c r="L3778" s="10">
        <v>0.35416666666666669</v>
      </c>
      <c r="M3778" t="s">
        <v>4386</v>
      </c>
      <c r="N3778" t="s">
        <v>4387</v>
      </c>
      <c r="O3778" t="s">
        <v>22</v>
      </c>
    </row>
    <row r="3779" spans="1:15">
      <c r="A3779" s="6" t="s">
        <v>15</v>
      </c>
      <c r="B3779" s="6" t="str">
        <f>"FES1162691978"</f>
        <v>FES1162691978</v>
      </c>
      <c r="C3779" s="7">
        <v>43612</v>
      </c>
      <c r="D3779" s="6">
        <v>1</v>
      </c>
      <c r="E3779" s="6">
        <v>2170690331</v>
      </c>
      <c r="F3779" s="6" t="s">
        <v>16</v>
      </c>
      <c r="G3779" s="6" t="s">
        <v>17</v>
      </c>
      <c r="H3779" s="6" t="s">
        <v>17</v>
      </c>
      <c r="I3779" s="6" t="s">
        <v>148</v>
      </c>
      <c r="J3779" s="6" t="s">
        <v>1457</v>
      </c>
      <c r="K3779" s="7">
        <v>43613</v>
      </c>
      <c r="L3779" s="8">
        <v>0.4284722222222222</v>
      </c>
      <c r="M3779" s="6" t="s">
        <v>4293</v>
      </c>
      <c r="N3779" s="14" t="s">
        <v>21</v>
      </c>
      <c r="O3779" s="6" t="s">
        <v>22</v>
      </c>
    </row>
    <row r="3780" spans="1:15">
      <c r="A3780" s="6" t="s">
        <v>15</v>
      </c>
      <c r="B3780" s="6" t="str">
        <f>"FES1162690217"</f>
        <v>FES1162690217</v>
      </c>
      <c r="C3780" s="7">
        <v>43612</v>
      </c>
      <c r="D3780" s="6">
        <v>1</v>
      </c>
      <c r="E3780" s="6">
        <v>2170688545</v>
      </c>
      <c r="F3780" s="6" t="s">
        <v>16</v>
      </c>
      <c r="G3780" s="6" t="s">
        <v>17</v>
      </c>
      <c r="H3780" s="6" t="s">
        <v>17</v>
      </c>
      <c r="I3780" s="6" t="s">
        <v>67</v>
      </c>
      <c r="J3780" s="6" t="s">
        <v>4388</v>
      </c>
      <c r="K3780" s="7">
        <v>43613</v>
      </c>
      <c r="L3780" s="8">
        <v>0.4284722222222222</v>
      </c>
      <c r="M3780" s="6" t="s">
        <v>4389</v>
      </c>
      <c r="N3780" s="14" t="s">
        <v>21</v>
      </c>
      <c r="O3780" s="6" t="s">
        <v>22</v>
      </c>
    </row>
    <row r="3781" spans="1:15" hidden="1">
      <c r="A3781" t="s">
        <v>15</v>
      </c>
      <c r="B3781" t="str">
        <f>"FES1162691906"</f>
        <v>FES1162691906</v>
      </c>
      <c r="C3781" s="9">
        <v>43612</v>
      </c>
      <c r="D3781">
        <v>1</v>
      </c>
      <c r="E3781">
        <v>2170688150</v>
      </c>
      <c r="F3781" t="s">
        <v>16</v>
      </c>
      <c r="G3781" t="s">
        <v>17</v>
      </c>
      <c r="H3781" t="s">
        <v>43</v>
      </c>
      <c r="I3781" t="s">
        <v>44</v>
      </c>
      <c r="J3781" t="s">
        <v>336</v>
      </c>
      <c r="K3781" s="9">
        <v>43613</v>
      </c>
      <c r="L3781" s="10">
        <v>0.37708333333333338</v>
      </c>
      <c r="M3781" t="s">
        <v>3869</v>
      </c>
      <c r="N3781" t="s">
        <v>4390</v>
      </c>
      <c r="O3781" t="s">
        <v>22</v>
      </c>
    </row>
    <row r="3782" spans="1:15">
      <c r="A3782" s="6" t="s">
        <v>15</v>
      </c>
      <c r="B3782" s="6" t="str">
        <f>"FES1162691931"</f>
        <v>FES1162691931</v>
      </c>
      <c r="C3782" s="7">
        <v>43612</v>
      </c>
      <c r="D3782" s="6">
        <v>1</v>
      </c>
      <c r="E3782" s="6">
        <v>2170690265</v>
      </c>
      <c r="F3782" s="6" t="s">
        <v>16</v>
      </c>
      <c r="G3782" s="6" t="s">
        <v>17</v>
      </c>
      <c r="H3782" s="6" t="s">
        <v>17</v>
      </c>
      <c r="I3782" s="6" t="s">
        <v>64</v>
      </c>
      <c r="J3782" s="6" t="s">
        <v>116</v>
      </c>
      <c r="K3782" s="7">
        <v>43613</v>
      </c>
      <c r="L3782" s="8">
        <v>0.33333333333333331</v>
      </c>
      <c r="M3782" s="6" t="s">
        <v>836</v>
      </c>
      <c r="N3782" s="14" t="s">
        <v>21</v>
      </c>
      <c r="O3782" s="6" t="s">
        <v>22</v>
      </c>
    </row>
    <row r="3783" spans="1:15">
      <c r="A3783" s="6" t="s">
        <v>15</v>
      </c>
      <c r="B3783" s="6" t="str">
        <f>"FES1162691979"</f>
        <v>FES1162691979</v>
      </c>
      <c r="C3783" s="7">
        <v>43612</v>
      </c>
      <c r="D3783" s="6">
        <v>1</v>
      </c>
      <c r="E3783" s="6">
        <v>2170690334</v>
      </c>
      <c r="F3783" s="6" t="s">
        <v>16</v>
      </c>
      <c r="G3783" s="6" t="s">
        <v>17</v>
      </c>
      <c r="H3783" s="6" t="s">
        <v>17</v>
      </c>
      <c r="I3783" s="6" t="s">
        <v>148</v>
      </c>
      <c r="J3783" s="6" t="s">
        <v>1457</v>
      </c>
      <c r="K3783" s="7">
        <v>43613</v>
      </c>
      <c r="L3783" s="8">
        <v>0.4236111111111111</v>
      </c>
      <c r="M3783" s="6" t="s">
        <v>4293</v>
      </c>
      <c r="N3783" s="14" t="s">
        <v>21</v>
      </c>
      <c r="O3783" s="6" t="s">
        <v>22</v>
      </c>
    </row>
    <row r="3784" spans="1:15">
      <c r="A3784" s="6" t="s">
        <v>15</v>
      </c>
      <c r="B3784" s="6" t="str">
        <f>"FES1162691936"</f>
        <v>FES1162691936</v>
      </c>
      <c r="C3784" s="7">
        <v>43612</v>
      </c>
      <c r="D3784" s="6">
        <v>1</v>
      </c>
      <c r="E3784" s="6">
        <v>2170690275</v>
      </c>
      <c r="F3784" s="6" t="s">
        <v>16</v>
      </c>
      <c r="G3784" s="6" t="s">
        <v>17</v>
      </c>
      <c r="H3784" s="6" t="s">
        <v>17</v>
      </c>
      <c r="I3784" s="6" t="s">
        <v>610</v>
      </c>
      <c r="J3784" s="6" t="s">
        <v>4391</v>
      </c>
      <c r="K3784" s="7">
        <v>43613</v>
      </c>
      <c r="L3784" s="8">
        <v>0.40486111111111112</v>
      </c>
      <c r="M3784" s="6" t="s">
        <v>1714</v>
      </c>
      <c r="N3784" s="14" t="s">
        <v>21</v>
      </c>
      <c r="O3784" s="6" t="s">
        <v>22</v>
      </c>
    </row>
    <row r="3785" spans="1:15" hidden="1">
      <c r="A3785" t="s">
        <v>15</v>
      </c>
      <c r="B3785" t="str">
        <f>"FES1162691902"</f>
        <v>FES1162691902</v>
      </c>
      <c r="C3785" s="9">
        <v>43612</v>
      </c>
      <c r="D3785">
        <v>1</v>
      </c>
      <c r="E3785">
        <v>2170687877</v>
      </c>
      <c r="F3785" t="s">
        <v>16</v>
      </c>
      <c r="G3785" t="s">
        <v>17</v>
      </c>
      <c r="H3785" t="s">
        <v>59</v>
      </c>
      <c r="I3785" t="s">
        <v>23</v>
      </c>
      <c r="J3785" t="s">
        <v>2367</v>
      </c>
      <c r="K3785" s="9">
        <v>43613</v>
      </c>
      <c r="L3785" s="10">
        <v>0.39305555555555555</v>
      </c>
      <c r="M3785" t="s">
        <v>4300</v>
      </c>
      <c r="N3785" t="s">
        <v>4392</v>
      </c>
      <c r="O3785" t="s">
        <v>22</v>
      </c>
    </row>
    <row r="3786" spans="1:15" hidden="1">
      <c r="A3786" t="s">
        <v>15</v>
      </c>
      <c r="B3786" t="str">
        <f>"FES1162691929"</f>
        <v>FES1162691929</v>
      </c>
      <c r="C3786" s="9">
        <v>43612</v>
      </c>
      <c r="D3786">
        <v>1</v>
      </c>
      <c r="E3786">
        <v>2170690263</v>
      </c>
      <c r="F3786" t="s">
        <v>16</v>
      </c>
      <c r="G3786" t="s">
        <v>17</v>
      </c>
      <c r="H3786" t="s">
        <v>141</v>
      </c>
      <c r="I3786" t="s">
        <v>185</v>
      </c>
      <c r="J3786" t="s">
        <v>210</v>
      </c>
      <c r="K3786" s="9">
        <v>43613</v>
      </c>
      <c r="L3786" s="10">
        <v>0.39305555555555555</v>
      </c>
      <c r="M3786" t="s">
        <v>3466</v>
      </c>
      <c r="N3786" t="s">
        <v>4393</v>
      </c>
      <c r="O3786" t="s">
        <v>22</v>
      </c>
    </row>
    <row r="3787" spans="1:15">
      <c r="A3787" s="6" t="s">
        <v>15</v>
      </c>
      <c r="B3787" s="6" t="str">
        <f>"FES1162692012"</f>
        <v>FES1162692012</v>
      </c>
      <c r="C3787" s="7">
        <v>43612</v>
      </c>
      <c r="D3787" s="6">
        <v>1</v>
      </c>
      <c r="E3787" s="6">
        <v>2170690378</v>
      </c>
      <c r="F3787" s="6" t="s">
        <v>16</v>
      </c>
      <c r="G3787" s="6" t="s">
        <v>17</v>
      </c>
      <c r="H3787" s="6" t="s">
        <v>17</v>
      </c>
      <c r="I3787" s="6" t="s">
        <v>414</v>
      </c>
      <c r="J3787" s="6" t="s">
        <v>1096</v>
      </c>
      <c r="K3787" s="7">
        <v>43613</v>
      </c>
      <c r="L3787" s="8">
        <v>0.33333333333333331</v>
      </c>
      <c r="M3787" s="6" t="s">
        <v>1539</v>
      </c>
      <c r="N3787" s="14" t="s">
        <v>21</v>
      </c>
      <c r="O3787" s="6" t="s">
        <v>22</v>
      </c>
    </row>
    <row r="3788" spans="1:15" hidden="1">
      <c r="A3788" t="s">
        <v>15</v>
      </c>
      <c r="B3788" t="str">
        <f>"FES1162691905"</f>
        <v>FES1162691905</v>
      </c>
      <c r="C3788" s="9">
        <v>43612</v>
      </c>
      <c r="D3788">
        <v>1</v>
      </c>
      <c r="E3788">
        <v>2170688113</v>
      </c>
      <c r="F3788" t="s">
        <v>16</v>
      </c>
      <c r="G3788" t="s">
        <v>17</v>
      </c>
      <c r="H3788" t="s">
        <v>32</v>
      </c>
      <c r="I3788" t="s">
        <v>342</v>
      </c>
      <c r="J3788" t="s">
        <v>949</v>
      </c>
      <c r="K3788" s="9">
        <v>43613</v>
      </c>
      <c r="L3788" s="10">
        <v>0.37847222222222227</v>
      </c>
      <c r="M3788" t="s">
        <v>2459</v>
      </c>
      <c r="N3788" t="s">
        <v>4394</v>
      </c>
      <c r="O3788" t="s">
        <v>22</v>
      </c>
    </row>
    <row r="3789" spans="1:15">
      <c r="A3789" s="6" t="s">
        <v>15</v>
      </c>
      <c r="B3789" s="6" t="str">
        <f>"FES1162691968"</f>
        <v>FES1162691968</v>
      </c>
      <c r="C3789" s="7">
        <v>43612</v>
      </c>
      <c r="D3789" s="6">
        <v>1</v>
      </c>
      <c r="E3789" s="6">
        <v>2170688078</v>
      </c>
      <c r="F3789" s="6" t="s">
        <v>16</v>
      </c>
      <c r="G3789" s="6" t="s">
        <v>17</v>
      </c>
      <c r="H3789" s="6" t="s">
        <v>17</v>
      </c>
      <c r="I3789" s="6" t="s">
        <v>67</v>
      </c>
      <c r="J3789" s="6" t="s">
        <v>1621</v>
      </c>
      <c r="K3789" s="7">
        <v>43614</v>
      </c>
      <c r="L3789" s="8">
        <v>0.36805555555555558</v>
      </c>
      <c r="M3789" s="6" t="s">
        <v>1622</v>
      </c>
      <c r="N3789" s="14" t="s">
        <v>21</v>
      </c>
      <c r="O3789" s="6" t="s">
        <v>22</v>
      </c>
    </row>
    <row r="3790" spans="1:15" hidden="1">
      <c r="A3790" t="s">
        <v>15</v>
      </c>
      <c r="B3790" t="str">
        <f>"FES1162691903"</f>
        <v>FES1162691903</v>
      </c>
      <c r="C3790" s="9">
        <v>43612</v>
      </c>
      <c r="D3790">
        <v>1</v>
      </c>
      <c r="E3790">
        <v>2170688079</v>
      </c>
      <c r="F3790" t="s">
        <v>16</v>
      </c>
      <c r="G3790" t="s">
        <v>17</v>
      </c>
      <c r="H3790" t="s">
        <v>132</v>
      </c>
      <c r="I3790" t="s">
        <v>133</v>
      </c>
      <c r="J3790" t="s">
        <v>639</v>
      </c>
      <c r="K3790" s="9">
        <v>43613</v>
      </c>
      <c r="L3790" s="10">
        <v>0.39583333333333331</v>
      </c>
      <c r="M3790" t="s">
        <v>1931</v>
      </c>
      <c r="N3790" t="s">
        <v>4395</v>
      </c>
      <c r="O3790" t="s">
        <v>22</v>
      </c>
    </row>
    <row r="3791" spans="1:15">
      <c r="A3791" s="6" t="s">
        <v>15</v>
      </c>
      <c r="B3791" s="6" t="str">
        <f>"FES1162691919"</f>
        <v>FES1162691919</v>
      </c>
      <c r="C3791" s="7">
        <v>43612</v>
      </c>
      <c r="D3791" s="6">
        <v>1</v>
      </c>
      <c r="E3791" s="6">
        <v>2170690242</v>
      </c>
      <c r="F3791" s="6" t="s">
        <v>16</v>
      </c>
      <c r="G3791" s="6" t="s">
        <v>17</v>
      </c>
      <c r="H3791" s="6" t="s">
        <v>17</v>
      </c>
      <c r="I3791" s="6" t="s">
        <v>935</v>
      </c>
      <c r="J3791" s="6" t="s">
        <v>936</v>
      </c>
      <c r="K3791" s="7">
        <v>43613</v>
      </c>
      <c r="L3791" s="8">
        <v>0.4513888888888889</v>
      </c>
      <c r="M3791" s="6" t="s">
        <v>4396</v>
      </c>
      <c r="N3791" s="14" t="s">
        <v>21</v>
      </c>
      <c r="O3791" s="6" t="s">
        <v>22</v>
      </c>
    </row>
    <row r="3792" spans="1:15">
      <c r="A3792" s="6" t="s">
        <v>15</v>
      </c>
      <c r="B3792" s="6" t="str">
        <f>"FES1162691926"</f>
        <v>FES1162691926</v>
      </c>
      <c r="C3792" s="7">
        <v>43612</v>
      </c>
      <c r="D3792" s="6">
        <v>1</v>
      </c>
      <c r="E3792" s="6">
        <v>2170690258</v>
      </c>
      <c r="F3792" s="6" t="s">
        <v>16</v>
      </c>
      <c r="G3792" s="6" t="s">
        <v>17</v>
      </c>
      <c r="H3792" s="6" t="s">
        <v>17</v>
      </c>
      <c r="I3792" s="6" t="s">
        <v>414</v>
      </c>
      <c r="J3792" s="6" t="s">
        <v>4397</v>
      </c>
      <c r="K3792" s="7">
        <v>43613</v>
      </c>
      <c r="L3792" s="8">
        <v>0.33333333333333331</v>
      </c>
      <c r="M3792" s="6" t="s">
        <v>4398</v>
      </c>
      <c r="N3792" s="14" t="s">
        <v>21</v>
      </c>
      <c r="O3792" s="6" t="s">
        <v>22</v>
      </c>
    </row>
    <row r="3793" spans="1:15" hidden="1">
      <c r="A3793" t="s">
        <v>15</v>
      </c>
      <c r="B3793" t="str">
        <f>"FES1162692002"</f>
        <v>FES1162692002</v>
      </c>
      <c r="C3793" s="9">
        <v>43612</v>
      </c>
      <c r="D3793">
        <v>1</v>
      </c>
      <c r="E3793">
        <v>2170690366</v>
      </c>
      <c r="F3793" t="s">
        <v>16</v>
      </c>
      <c r="G3793" t="s">
        <v>17</v>
      </c>
      <c r="H3793" t="s">
        <v>141</v>
      </c>
      <c r="I3793" t="s">
        <v>185</v>
      </c>
      <c r="J3793" t="s">
        <v>461</v>
      </c>
      <c r="K3793" s="9">
        <v>43613</v>
      </c>
      <c r="L3793" s="10">
        <v>0.38541666666666669</v>
      </c>
      <c r="M3793" t="s">
        <v>3913</v>
      </c>
      <c r="N3793" t="s">
        <v>4399</v>
      </c>
      <c r="O3793" t="s">
        <v>22</v>
      </c>
    </row>
    <row r="3794" spans="1:15" hidden="1">
      <c r="A3794" t="s">
        <v>15</v>
      </c>
      <c r="B3794" t="str">
        <f>"FES1162691894"</f>
        <v>FES1162691894</v>
      </c>
      <c r="C3794" s="9">
        <v>43612</v>
      </c>
      <c r="D3794">
        <v>1</v>
      </c>
      <c r="E3794">
        <v>21706385418</v>
      </c>
      <c r="F3794" t="s">
        <v>16</v>
      </c>
      <c r="G3794" t="s">
        <v>17</v>
      </c>
      <c r="H3794" t="s">
        <v>290</v>
      </c>
      <c r="I3794" t="s">
        <v>291</v>
      </c>
      <c r="J3794" t="s">
        <v>4063</v>
      </c>
      <c r="K3794" s="9">
        <v>43614</v>
      </c>
      <c r="L3794" s="10">
        <v>0.40277777777777773</v>
      </c>
      <c r="M3794" t="s">
        <v>4400</v>
      </c>
      <c r="N3794" t="s">
        <v>4401</v>
      </c>
      <c r="O3794" t="s">
        <v>22</v>
      </c>
    </row>
    <row r="3795" spans="1:15" hidden="1">
      <c r="A3795" t="s">
        <v>15</v>
      </c>
      <c r="B3795" t="str">
        <f>"FES1162691941"</f>
        <v>FES1162691941</v>
      </c>
      <c r="C3795" s="9">
        <v>43612</v>
      </c>
      <c r="D3795">
        <v>1</v>
      </c>
      <c r="E3795">
        <v>2170690289</v>
      </c>
      <c r="F3795" t="s">
        <v>16</v>
      </c>
      <c r="G3795" t="s">
        <v>17</v>
      </c>
      <c r="H3795" t="s">
        <v>132</v>
      </c>
      <c r="I3795" t="s">
        <v>133</v>
      </c>
      <c r="J3795" t="s">
        <v>238</v>
      </c>
      <c r="K3795" s="9">
        <v>43613</v>
      </c>
      <c r="L3795" s="10">
        <v>0.35416666666666669</v>
      </c>
      <c r="M3795" t="s">
        <v>4386</v>
      </c>
      <c r="N3795" t="s">
        <v>4402</v>
      </c>
      <c r="O3795" t="s">
        <v>22</v>
      </c>
    </row>
    <row r="3796" spans="1:15" hidden="1">
      <c r="A3796" t="s">
        <v>15</v>
      </c>
      <c r="B3796" t="str">
        <f>"FES1162691914"</f>
        <v>FES1162691914</v>
      </c>
      <c r="C3796" s="9">
        <v>43612</v>
      </c>
      <c r="D3796">
        <v>1</v>
      </c>
      <c r="E3796">
        <v>2170689868</v>
      </c>
      <c r="F3796" t="s">
        <v>16</v>
      </c>
      <c r="G3796" t="s">
        <v>17</v>
      </c>
      <c r="H3796" t="s">
        <v>132</v>
      </c>
      <c r="I3796" t="s">
        <v>137</v>
      </c>
      <c r="J3796" t="s">
        <v>138</v>
      </c>
      <c r="K3796" s="9">
        <v>43613</v>
      </c>
      <c r="L3796" s="10">
        <v>0.48055555555555557</v>
      </c>
      <c r="M3796" t="s">
        <v>2542</v>
      </c>
      <c r="N3796" t="s">
        <v>4403</v>
      </c>
      <c r="O3796" t="s">
        <v>22</v>
      </c>
    </row>
    <row r="3797" spans="1:15" hidden="1">
      <c r="A3797" t="s">
        <v>15</v>
      </c>
      <c r="B3797" t="str">
        <f>"FES11691897"</f>
        <v>FES11691897</v>
      </c>
      <c r="C3797" s="9">
        <v>43612</v>
      </c>
      <c r="D3797">
        <v>1</v>
      </c>
      <c r="E3797">
        <v>2170687203</v>
      </c>
      <c r="F3797" t="s">
        <v>16</v>
      </c>
      <c r="G3797" t="s">
        <v>17</v>
      </c>
      <c r="H3797" t="s">
        <v>32</v>
      </c>
      <c r="I3797" t="s">
        <v>33</v>
      </c>
      <c r="J3797" t="s">
        <v>1657</v>
      </c>
      <c r="K3797" s="9">
        <v>43613</v>
      </c>
      <c r="L3797" s="10">
        <v>0.40763888888888888</v>
      </c>
      <c r="M3797" t="s">
        <v>1658</v>
      </c>
      <c r="N3797" t="s">
        <v>4404</v>
      </c>
      <c r="O3797" t="s">
        <v>22</v>
      </c>
    </row>
    <row r="3798" spans="1:15" hidden="1">
      <c r="A3798" t="s">
        <v>15</v>
      </c>
      <c r="B3798" t="str">
        <f>"FES1162691957"</f>
        <v>FES1162691957</v>
      </c>
      <c r="C3798" s="9">
        <v>43612</v>
      </c>
      <c r="D3798">
        <v>1</v>
      </c>
      <c r="E3798">
        <v>2170690314</v>
      </c>
      <c r="F3798" t="s">
        <v>16</v>
      </c>
      <c r="G3798" t="s">
        <v>17</v>
      </c>
      <c r="H3798" t="s">
        <v>132</v>
      </c>
      <c r="I3798" t="s">
        <v>1066</v>
      </c>
      <c r="J3798" t="s">
        <v>1067</v>
      </c>
      <c r="K3798" s="9">
        <v>43614</v>
      </c>
      <c r="L3798" s="10">
        <v>0.58680555555555558</v>
      </c>
      <c r="M3798" t="s">
        <v>4405</v>
      </c>
      <c r="N3798" t="s">
        <v>4406</v>
      </c>
      <c r="O3798" t="s">
        <v>22</v>
      </c>
    </row>
    <row r="3799" spans="1:15" hidden="1">
      <c r="A3799" t="s">
        <v>15</v>
      </c>
      <c r="B3799" t="str">
        <f>"FES1162691990"</f>
        <v>FES1162691990</v>
      </c>
      <c r="C3799" s="9">
        <v>43612</v>
      </c>
      <c r="D3799">
        <v>1</v>
      </c>
      <c r="E3799">
        <v>2170690354</v>
      </c>
      <c r="F3799" t="s">
        <v>16</v>
      </c>
      <c r="G3799" t="s">
        <v>17</v>
      </c>
      <c r="H3799" t="s">
        <v>141</v>
      </c>
      <c r="I3799" t="s">
        <v>448</v>
      </c>
      <c r="J3799" t="s">
        <v>979</v>
      </c>
      <c r="K3799" s="9">
        <v>43613</v>
      </c>
      <c r="L3799" s="10">
        <v>0.39166666666666666</v>
      </c>
      <c r="M3799" t="s">
        <v>4407</v>
      </c>
      <c r="N3799" t="s">
        <v>4408</v>
      </c>
      <c r="O3799" t="s">
        <v>22</v>
      </c>
    </row>
    <row r="3800" spans="1:15" hidden="1">
      <c r="A3800" t="s">
        <v>15</v>
      </c>
      <c r="B3800" t="str">
        <f>"FES1162691933"</f>
        <v>FES1162691933</v>
      </c>
      <c r="C3800" s="9">
        <v>43612</v>
      </c>
      <c r="D3800">
        <v>1</v>
      </c>
      <c r="E3800">
        <v>2170690268</v>
      </c>
      <c r="F3800" t="s">
        <v>16</v>
      </c>
      <c r="G3800" t="s">
        <v>17</v>
      </c>
      <c r="H3800" t="s">
        <v>59</v>
      </c>
      <c r="I3800" t="s">
        <v>64</v>
      </c>
      <c r="J3800" t="s">
        <v>116</v>
      </c>
      <c r="K3800" s="9">
        <v>43613</v>
      </c>
      <c r="L3800" s="10">
        <v>0.33333333333333331</v>
      </c>
      <c r="M3800" t="s">
        <v>836</v>
      </c>
      <c r="N3800" t="s">
        <v>4409</v>
      </c>
      <c r="O3800" t="s">
        <v>22</v>
      </c>
    </row>
    <row r="3801" spans="1:15" hidden="1">
      <c r="A3801" t="s">
        <v>15</v>
      </c>
      <c r="B3801" t="str">
        <f>"FES1162691900"</f>
        <v>FES1162691900</v>
      </c>
      <c r="C3801" s="9">
        <v>43612</v>
      </c>
      <c r="D3801">
        <v>1</v>
      </c>
      <c r="E3801">
        <v>2170687535</v>
      </c>
      <c r="F3801" t="s">
        <v>16</v>
      </c>
      <c r="G3801" t="s">
        <v>17</v>
      </c>
      <c r="H3801" t="s">
        <v>290</v>
      </c>
      <c r="I3801" t="s">
        <v>291</v>
      </c>
      <c r="J3801" t="s">
        <v>709</v>
      </c>
      <c r="K3801" s="9">
        <v>43613</v>
      </c>
      <c r="L3801" s="10">
        <v>0.3888888888888889</v>
      </c>
      <c r="M3801" t="s">
        <v>56</v>
      </c>
      <c r="N3801" t="s">
        <v>4410</v>
      </c>
      <c r="O3801" t="s">
        <v>22</v>
      </c>
    </row>
    <row r="3802" spans="1:15" hidden="1">
      <c r="A3802" t="s">
        <v>15</v>
      </c>
      <c r="B3802" t="str">
        <f>"FES1162691912"</f>
        <v>FES1162691912</v>
      </c>
      <c r="C3802" s="9">
        <v>43612</v>
      </c>
      <c r="D3802">
        <v>1</v>
      </c>
      <c r="E3802">
        <v>2170689654</v>
      </c>
      <c r="F3802" t="s">
        <v>16</v>
      </c>
      <c r="G3802" t="s">
        <v>17</v>
      </c>
      <c r="H3802" t="s">
        <v>290</v>
      </c>
      <c r="I3802" t="s">
        <v>291</v>
      </c>
      <c r="J3802" t="s">
        <v>3960</v>
      </c>
      <c r="K3802" s="9">
        <v>43613</v>
      </c>
      <c r="L3802" s="10">
        <v>0.3923611111111111</v>
      </c>
      <c r="M3802" t="s">
        <v>4411</v>
      </c>
      <c r="N3802" t="s">
        <v>4412</v>
      </c>
      <c r="O3802" t="s">
        <v>22</v>
      </c>
    </row>
    <row r="3803" spans="1:15">
      <c r="A3803" s="6" t="s">
        <v>15</v>
      </c>
      <c r="B3803" s="6" t="str">
        <f>"FES1162691917"</f>
        <v>FES1162691917</v>
      </c>
      <c r="C3803" s="7">
        <v>43612</v>
      </c>
      <c r="D3803" s="6">
        <v>1</v>
      </c>
      <c r="E3803" s="6">
        <v>217690238</v>
      </c>
      <c r="F3803" s="6" t="s">
        <v>16</v>
      </c>
      <c r="G3803" s="6" t="s">
        <v>17</v>
      </c>
      <c r="H3803" s="6" t="s">
        <v>17</v>
      </c>
      <c r="I3803" s="6" t="s">
        <v>29</v>
      </c>
      <c r="J3803" s="6" t="s">
        <v>4413</v>
      </c>
      <c r="K3803" s="7">
        <v>43614</v>
      </c>
      <c r="L3803" s="8">
        <v>0.62222222222222223</v>
      </c>
      <c r="M3803" s="6" t="s">
        <v>969</v>
      </c>
      <c r="N3803" s="14" t="s">
        <v>21</v>
      </c>
      <c r="O3803" s="6" t="s">
        <v>22</v>
      </c>
    </row>
    <row r="3804" spans="1:15" hidden="1">
      <c r="A3804" t="s">
        <v>15</v>
      </c>
      <c r="B3804" t="str">
        <f>"FES1162691934"</f>
        <v>FES1162691934</v>
      </c>
      <c r="C3804" s="9">
        <v>43612</v>
      </c>
      <c r="D3804">
        <v>1</v>
      </c>
      <c r="E3804">
        <v>2170690272</v>
      </c>
      <c r="F3804" t="s">
        <v>16</v>
      </c>
      <c r="G3804" t="s">
        <v>17</v>
      </c>
      <c r="H3804" t="s">
        <v>290</v>
      </c>
      <c r="I3804" t="s">
        <v>316</v>
      </c>
      <c r="J3804" t="s">
        <v>284</v>
      </c>
      <c r="K3804" s="9">
        <v>43613</v>
      </c>
      <c r="L3804" s="10">
        <v>0.43124999999999997</v>
      </c>
      <c r="M3804" t="s">
        <v>320</v>
      </c>
      <c r="N3804" t="s">
        <v>4414</v>
      </c>
      <c r="O3804" t="s">
        <v>22</v>
      </c>
    </row>
    <row r="3805" spans="1:15" hidden="1">
      <c r="A3805" t="s">
        <v>15</v>
      </c>
      <c r="B3805" t="str">
        <f>"FES1162691945"</f>
        <v>FES1162691945</v>
      </c>
      <c r="C3805" s="9">
        <v>43612</v>
      </c>
      <c r="D3805">
        <v>1</v>
      </c>
      <c r="E3805">
        <v>2170690300</v>
      </c>
      <c r="F3805" t="s">
        <v>16</v>
      </c>
      <c r="G3805" t="s">
        <v>17</v>
      </c>
      <c r="H3805" t="s">
        <v>141</v>
      </c>
      <c r="I3805" t="s">
        <v>142</v>
      </c>
      <c r="J3805" t="s">
        <v>4280</v>
      </c>
      <c r="K3805" s="9">
        <v>43613</v>
      </c>
      <c r="L3805" s="10">
        <v>0.4375</v>
      </c>
      <c r="M3805" t="s">
        <v>56</v>
      </c>
      <c r="N3805" t="s">
        <v>4415</v>
      </c>
      <c r="O3805" t="s">
        <v>22</v>
      </c>
    </row>
    <row r="3806" spans="1:15">
      <c r="A3806" s="6" t="s">
        <v>15</v>
      </c>
      <c r="B3806" s="6" t="str">
        <f>"FES1162691932"</f>
        <v>FES1162691932</v>
      </c>
      <c r="C3806" s="7">
        <v>43612</v>
      </c>
      <c r="D3806" s="6">
        <v>1</v>
      </c>
      <c r="E3806" s="6">
        <v>2170690267</v>
      </c>
      <c r="F3806" s="6" t="s">
        <v>16</v>
      </c>
      <c r="G3806" s="6" t="s">
        <v>17</v>
      </c>
      <c r="H3806" s="6" t="s">
        <v>17</v>
      </c>
      <c r="I3806" s="6" t="s">
        <v>18</v>
      </c>
      <c r="J3806" s="6" t="s">
        <v>4315</v>
      </c>
      <c r="K3806" s="7">
        <v>43613</v>
      </c>
      <c r="L3806" s="8">
        <v>0.38055555555555554</v>
      </c>
      <c r="M3806" s="6" t="s">
        <v>1019</v>
      </c>
      <c r="N3806" s="14" t="s">
        <v>21</v>
      </c>
      <c r="O3806" s="6" t="s">
        <v>22</v>
      </c>
    </row>
    <row r="3807" spans="1:15" hidden="1">
      <c r="A3807" t="s">
        <v>15</v>
      </c>
      <c r="B3807" t="str">
        <f>"FES1162692001"</f>
        <v>FES1162692001</v>
      </c>
      <c r="C3807" s="9">
        <v>43612</v>
      </c>
      <c r="D3807">
        <v>1</v>
      </c>
      <c r="E3807">
        <v>2170689135</v>
      </c>
      <c r="F3807" t="s">
        <v>16</v>
      </c>
      <c r="G3807" t="s">
        <v>17</v>
      </c>
      <c r="H3807" t="s">
        <v>141</v>
      </c>
      <c r="I3807" t="s">
        <v>185</v>
      </c>
      <c r="J3807" t="s">
        <v>4281</v>
      </c>
      <c r="K3807" s="9">
        <v>43613</v>
      </c>
      <c r="L3807" s="10">
        <v>0.40486111111111112</v>
      </c>
      <c r="M3807" t="s">
        <v>4416</v>
      </c>
      <c r="N3807" t="s">
        <v>4417</v>
      </c>
      <c r="O3807" t="s">
        <v>22</v>
      </c>
    </row>
    <row r="3808" spans="1:15" hidden="1">
      <c r="A3808" t="s">
        <v>15</v>
      </c>
      <c r="B3808" t="str">
        <f>"FES1162691736"</f>
        <v>FES1162691736</v>
      </c>
      <c r="C3808" s="9">
        <v>43612</v>
      </c>
      <c r="D3808">
        <v>1</v>
      </c>
      <c r="E3808">
        <v>2170690017</v>
      </c>
      <c r="F3808" t="s">
        <v>16</v>
      </c>
      <c r="G3808" t="s">
        <v>17</v>
      </c>
      <c r="H3808" t="s">
        <v>290</v>
      </c>
      <c r="I3808" t="s">
        <v>309</v>
      </c>
      <c r="J3808" t="s">
        <v>4282</v>
      </c>
      <c r="K3808" s="9">
        <v>43613</v>
      </c>
      <c r="L3808" s="10">
        <v>0.39652777777777781</v>
      </c>
      <c r="M3808" t="s">
        <v>4418</v>
      </c>
      <c r="N3808" t="s">
        <v>4419</v>
      </c>
      <c r="O3808" t="s">
        <v>22</v>
      </c>
    </row>
    <row r="3809" spans="1:15" hidden="1">
      <c r="A3809" t="s">
        <v>15</v>
      </c>
      <c r="B3809" t="str">
        <f>"FES1162691907"</f>
        <v>FES1162691907</v>
      </c>
      <c r="C3809" s="9">
        <v>43612</v>
      </c>
      <c r="D3809">
        <v>1</v>
      </c>
      <c r="E3809">
        <v>2170688524</v>
      </c>
      <c r="F3809" t="s">
        <v>16</v>
      </c>
      <c r="G3809" t="s">
        <v>17</v>
      </c>
      <c r="H3809" t="s">
        <v>290</v>
      </c>
      <c r="I3809" t="s">
        <v>291</v>
      </c>
      <c r="J3809" t="s">
        <v>297</v>
      </c>
      <c r="K3809" s="9">
        <v>43613</v>
      </c>
      <c r="L3809" s="10">
        <v>0.35138888888888892</v>
      </c>
      <c r="M3809" t="s">
        <v>1291</v>
      </c>
      <c r="N3809" t="s">
        <v>4420</v>
      </c>
      <c r="O3809" t="s">
        <v>22</v>
      </c>
    </row>
    <row r="3810" spans="1:15" hidden="1">
      <c r="A3810" t="s">
        <v>15</v>
      </c>
      <c r="B3810" t="str">
        <f>"FES1162692010"</f>
        <v>FES1162692010</v>
      </c>
      <c r="C3810" s="9">
        <v>43612</v>
      </c>
      <c r="D3810">
        <v>1</v>
      </c>
      <c r="E3810">
        <v>2170609375</v>
      </c>
      <c r="F3810" t="s">
        <v>16</v>
      </c>
      <c r="G3810" t="s">
        <v>17</v>
      </c>
      <c r="H3810" t="s">
        <v>290</v>
      </c>
      <c r="I3810" t="s">
        <v>291</v>
      </c>
      <c r="J3810" t="s">
        <v>1744</v>
      </c>
      <c r="K3810" s="9">
        <v>43613</v>
      </c>
      <c r="L3810" s="10">
        <v>0.41180555555555554</v>
      </c>
      <c r="M3810" t="s">
        <v>4421</v>
      </c>
      <c r="N3810" t="s">
        <v>4422</v>
      </c>
      <c r="O3810" t="s">
        <v>22</v>
      </c>
    </row>
    <row r="3811" spans="1:15">
      <c r="A3811" s="6" t="s">
        <v>15</v>
      </c>
      <c r="B3811" s="6" t="str">
        <f>"FES1162691994"</f>
        <v>FES1162691994</v>
      </c>
      <c r="C3811" s="7">
        <v>43612</v>
      </c>
      <c r="D3811" s="6">
        <v>1</v>
      </c>
      <c r="E3811" s="6">
        <v>2170690359</v>
      </c>
      <c r="F3811" s="6" t="s">
        <v>16</v>
      </c>
      <c r="G3811" s="6" t="s">
        <v>17</v>
      </c>
      <c r="H3811" s="6" t="s">
        <v>17</v>
      </c>
      <c r="I3811" s="6" t="s">
        <v>103</v>
      </c>
      <c r="J3811" s="6" t="s">
        <v>4423</v>
      </c>
      <c r="K3811" s="7">
        <v>43613</v>
      </c>
      <c r="L3811" s="8">
        <v>0.4375</v>
      </c>
      <c r="M3811" s="6" t="s">
        <v>56</v>
      </c>
      <c r="N3811" s="14" t="s">
        <v>21</v>
      </c>
      <c r="O3811" s="6" t="s">
        <v>22</v>
      </c>
    </row>
    <row r="3812" spans="1:15" hidden="1">
      <c r="A3812" t="s">
        <v>15</v>
      </c>
      <c r="B3812" t="str">
        <f>"FES1162691899"</f>
        <v>FES1162691899</v>
      </c>
      <c r="C3812" s="9">
        <v>43612</v>
      </c>
      <c r="D3812">
        <v>1</v>
      </c>
      <c r="E3812">
        <v>2170687393</v>
      </c>
      <c r="F3812" t="s">
        <v>16</v>
      </c>
      <c r="G3812" t="s">
        <v>17</v>
      </c>
      <c r="H3812" t="s">
        <v>32</v>
      </c>
      <c r="I3812" t="s">
        <v>33</v>
      </c>
      <c r="J3812" t="s">
        <v>1438</v>
      </c>
      <c r="K3812" s="9">
        <v>43613</v>
      </c>
      <c r="L3812" s="10">
        <v>0.40277777777777773</v>
      </c>
      <c r="M3812" t="s">
        <v>1439</v>
      </c>
      <c r="N3812" t="s">
        <v>4424</v>
      </c>
      <c r="O3812" t="s">
        <v>22</v>
      </c>
    </row>
    <row r="3813" spans="1:15" hidden="1">
      <c r="A3813" t="s">
        <v>15</v>
      </c>
      <c r="B3813" t="str">
        <f>"FES1162691939"</f>
        <v>FES1162691939</v>
      </c>
      <c r="C3813" s="9">
        <v>43612</v>
      </c>
      <c r="D3813">
        <v>1</v>
      </c>
      <c r="E3813">
        <v>2170690286</v>
      </c>
      <c r="F3813" t="s">
        <v>16</v>
      </c>
      <c r="G3813" t="s">
        <v>17</v>
      </c>
      <c r="H3813" t="s">
        <v>43</v>
      </c>
      <c r="I3813" t="s">
        <v>44</v>
      </c>
      <c r="J3813" t="s">
        <v>336</v>
      </c>
      <c r="K3813" s="9">
        <v>43613</v>
      </c>
      <c r="L3813" s="10">
        <v>0.3756944444444445</v>
      </c>
      <c r="M3813" t="s">
        <v>3869</v>
      </c>
      <c r="N3813" t="s">
        <v>4425</v>
      </c>
      <c r="O3813" t="s">
        <v>22</v>
      </c>
    </row>
    <row r="3814" spans="1:15" hidden="1">
      <c r="A3814" t="s">
        <v>15</v>
      </c>
      <c r="B3814" t="str">
        <f>"FES1162691909"</f>
        <v>FES1162691909</v>
      </c>
      <c r="C3814" s="9">
        <v>43612</v>
      </c>
      <c r="D3814">
        <v>1</v>
      </c>
      <c r="E3814">
        <v>2170689310</v>
      </c>
      <c r="F3814" t="s">
        <v>16</v>
      </c>
      <c r="G3814" t="s">
        <v>17</v>
      </c>
      <c r="H3814" t="s">
        <v>43</v>
      </c>
      <c r="I3814" t="s">
        <v>44</v>
      </c>
      <c r="J3814" t="s">
        <v>4283</v>
      </c>
      <c r="K3814" s="9">
        <v>43613</v>
      </c>
      <c r="L3814" s="10">
        <v>0.39166666666666666</v>
      </c>
      <c r="M3814" t="s">
        <v>4426</v>
      </c>
      <c r="N3814" t="s">
        <v>4427</v>
      </c>
      <c r="O3814" t="s">
        <v>22</v>
      </c>
    </row>
    <row r="3815" spans="1:15" hidden="1">
      <c r="A3815" t="s">
        <v>15</v>
      </c>
      <c r="B3815" t="str">
        <f>"FES1162691938"</f>
        <v>FES1162691938</v>
      </c>
      <c r="C3815" s="9">
        <v>43612</v>
      </c>
      <c r="D3815">
        <v>1</v>
      </c>
      <c r="E3815">
        <v>2170690280</v>
      </c>
      <c r="F3815" t="s">
        <v>16</v>
      </c>
      <c r="G3815" t="s">
        <v>17</v>
      </c>
      <c r="H3815" t="s">
        <v>32</v>
      </c>
      <c r="I3815" t="s">
        <v>33</v>
      </c>
      <c r="J3815" t="s">
        <v>357</v>
      </c>
      <c r="K3815" s="9">
        <v>43613</v>
      </c>
      <c r="L3815" s="10">
        <v>0.43402777777777773</v>
      </c>
      <c r="M3815" t="s">
        <v>1051</v>
      </c>
      <c r="N3815" t="s">
        <v>4428</v>
      </c>
      <c r="O3815" t="s">
        <v>22</v>
      </c>
    </row>
    <row r="3816" spans="1:15" hidden="1">
      <c r="A3816" t="s">
        <v>15</v>
      </c>
      <c r="B3816" t="str">
        <f>"FES1162691937"</f>
        <v>FES1162691937</v>
      </c>
      <c r="C3816" s="9">
        <v>43612</v>
      </c>
      <c r="D3816">
        <v>1</v>
      </c>
      <c r="E3816">
        <v>2170690279</v>
      </c>
      <c r="F3816" t="s">
        <v>16</v>
      </c>
      <c r="G3816" t="s">
        <v>17</v>
      </c>
      <c r="H3816" t="s">
        <v>32</v>
      </c>
      <c r="I3816" t="s">
        <v>33</v>
      </c>
      <c r="J3816" t="s">
        <v>357</v>
      </c>
      <c r="K3816" s="9">
        <v>43613</v>
      </c>
      <c r="L3816" s="10">
        <v>0.43402777777777773</v>
      </c>
      <c r="M3816" t="s">
        <v>3033</v>
      </c>
      <c r="N3816" t="s">
        <v>4429</v>
      </c>
      <c r="O3816" t="s">
        <v>22</v>
      </c>
    </row>
    <row r="3817" spans="1:15" hidden="1">
      <c r="A3817" t="s">
        <v>15</v>
      </c>
      <c r="B3817" t="str">
        <f>"FES1162691952"</f>
        <v>FES1162691952</v>
      </c>
      <c r="C3817" s="9">
        <v>43612</v>
      </c>
      <c r="D3817">
        <v>1</v>
      </c>
      <c r="E3817">
        <v>2170690305</v>
      </c>
      <c r="F3817" t="s">
        <v>16</v>
      </c>
      <c r="G3817" t="s">
        <v>17</v>
      </c>
      <c r="H3817" t="s">
        <v>32</v>
      </c>
      <c r="I3817" t="s">
        <v>342</v>
      </c>
      <c r="J3817" t="s">
        <v>726</v>
      </c>
      <c r="K3817" s="9">
        <v>43613</v>
      </c>
      <c r="L3817" s="10">
        <v>0.3888888888888889</v>
      </c>
      <c r="M3817" t="s">
        <v>4430</v>
      </c>
      <c r="N3817" t="s">
        <v>4431</v>
      </c>
      <c r="O3817" t="s">
        <v>22</v>
      </c>
    </row>
    <row r="3818" spans="1:15" hidden="1">
      <c r="A3818" t="s">
        <v>15</v>
      </c>
      <c r="B3818" t="str">
        <f>"FES1162692024"</f>
        <v>FES1162692024</v>
      </c>
      <c r="C3818" s="9">
        <v>43612</v>
      </c>
      <c r="D3818">
        <v>1</v>
      </c>
      <c r="E3818">
        <v>2170685776</v>
      </c>
      <c r="F3818" t="s">
        <v>16</v>
      </c>
      <c r="G3818" t="s">
        <v>17</v>
      </c>
      <c r="H3818" t="s">
        <v>141</v>
      </c>
      <c r="I3818" t="s">
        <v>185</v>
      </c>
      <c r="J3818" t="s">
        <v>503</v>
      </c>
      <c r="K3818" s="9">
        <v>43613</v>
      </c>
      <c r="L3818" s="10">
        <v>0.37847222222222227</v>
      </c>
      <c r="M3818" t="s">
        <v>1355</v>
      </c>
      <c r="N3818" t="s">
        <v>4432</v>
      </c>
      <c r="O3818" t="s">
        <v>22</v>
      </c>
    </row>
    <row r="3819" spans="1:15" hidden="1">
      <c r="A3819" t="s">
        <v>15</v>
      </c>
      <c r="B3819" t="str">
        <f>"FES1162692013"</f>
        <v>FES1162692013</v>
      </c>
      <c r="C3819" s="9">
        <v>43612</v>
      </c>
      <c r="D3819">
        <v>1</v>
      </c>
      <c r="E3819">
        <v>2170690379</v>
      </c>
      <c r="F3819" t="s">
        <v>16</v>
      </c>
      <c r="G3819" t="s">
        <v>17</v>
      </c>
      <c r="H3819" t="s">
        <v>141</v>
      </c>
      <c r="I3819" t="s">
        <v>142</v>
      </c>
      <c r="J3819" t="s">
        <v>864</v>
      </c>
      <c r="K3819" s="9">
        <v>43613</v>
      </c>
      <c r="L3819" s="10">
        <v>0.3756944444444445</v>
      </c>
      <c r="M3819" t="s">
        <v>2254</v>
      </c>
      <c r="N3819" t="s">
        <v>4433</v>
      </c>
      <c r="O3819" t="s">
        <v>22</v>
      </c>
    </row>
    <row r="3820" spans="1:15" hidden="1">
      <c r="A3820" t="s">
        <v>15</v>
      </c>
      <c r="B3820" t="str">
        <f>"FES1162692015"</f>
        <v>FES1162692015</v>
      </c>
      <c r="C3820" s="9">
        <v>43612</v>
      </c>
      <c r="D3820">
        <v>1</v>
      </c>
      <c r="E3820">
        <v>2170686501</v>
      </c>
      <c r="F3820" t="s">
        <v>16</v>
      </c>
      <c r="G3820" t="s">
        <v>17</v>
      </c>
      <c r="H3820" t="s">
        <v>43</v>
      </c>
      <c r="I3820" t="s">
        <v>44</v>
      </c>
      <c r="J3820" t="s">
        <v>128</v>
      </c>
      <c r="K3820" s="9">
        <v>43613</v>
      </c>
      <c r="L3820" s="10">
        <v>0.375</v>
      </c>
      <c r="M3820" t="s">
        <v>4434</v>
      </c>
      <c r="N3820" t="s">
        <v>4435</v>
      </c>
      <c r="O3820" t="s">
        <v>22</v>
      </c>
    </row>
    <row r="3821" spans="1:15" hidden="1">
      <c r="A3821" t="s">
        <v>15</v>
      </c>
      <c r="B3821" t="str">
        <f>"FES1162691973"</f>
        <v>FES1162691973</v>
      </c>
      <c r="C3821" s="9">
        <v>43612</v>
      </c>
      <c r="D3821">
        <v>1</v>
      </c>
      <c r="E3821">
        <v>2170690335</v>
      </c>
      <c r="F3821" t="s">
        <v>16</v>
      </c>
      <c r="G3821" t="s">
        <v>17</v>
      </c>
      <c r="H3821" t="s">
        <v>43</v>
      </c>
      <c r="I3821" t="s">
        <v>75</v>
      </c>
      <c r="J3821" t="s">
        <v>1089</v>
      </c>
      <c r="K3821" s="9">
        <v>43613</v>
      </c>
      <c r="L3821" s="10">
        <v>0.50277777777777777</v>
      </c>
      <c r="M3821" t="s">
        <v>4436</v>
      </c>
      <c r="N3821" t="s">
        <v>4437</v>
      </c>
      <c r="O3821" t="s">
        <v>22</v>
      </c>
    </row>
    <row r="3822" spans="1:15" hidden="1">
      <c r="A3822" t="s">
        <v>15</v>
      </c>
      <c r="B3822" t="str">
        <f>"FES1162692004"</f>
        <v>FES1162692004</v>
      </c>
      <c r="C3822" s="9">
        <v>43612</v>
      </c>
      <c r="D3822">
        <v>1</v>
      </c>
      <c r="E3822">
        <v>2170690368</v>
      </c>
      <c r="F3822" t="s">
        <v>16</v>
      </c>
      <c r="G3822" t="s">
        <v>17</v>
      </c>
      <c r="H3822" t="s">
        <v>43</v>
      </c>
      <c r="I3822" t="s">
        <v>44</v>
      </c>
      <c r="J3822" t="s">
        <v>48</v>
      </c>
      <c r="K3822" s="9">
        <v>43613</v>
      </c>
      <c r="L3822" s="10">
        <v>0.32500000000000001</v>
      </c>
      <c r="M3822" t="s">
        <v>1650</v>
      </c>
      <c r="N3822" t="s">
        <v>4438</v>
      </c>
      <c r="O3822" t="s">
        <v>22</v>
      </c>
    </row>
    <row r="3823" spans="1:15" hidden="1">
      <c r="A3823" t="s">
        <v>15</v>
      </c>
      <c r="B3823" t="str">
        <f>"FES1162691989"</f>
        <v>FES1162691989</v>
      </c>
      <c r="C3823" s="9">
        <v>43612</v>
      </c>
      <c r="D3823">
        <v>1</v>
      </c>
      <c r="E3823">
        <v>2170690353</v>
      </c>
      <c r="F3823" t="s">
        <v>16</v>
      </c>
      <c r="G3823" t="s">
        <v>17</v>
      </c>
      <c r="H3823" t="s">
        <v>43</v>
      </c>
      <c r="I3823" t="s">
        <v>44</v>
      </c>
      <c r="J3823" t="s">
        <v>236</v>
      </c>
      <c r="K3823" s="9">
        <v>43613</v>
      </c>
      <c r="L3823" s="10">
        <v>0.41666666666666669</v>
      </c>
      <c r="M3823" t="s">
        <v>3987</v>
      </c>
      <c r="N3823" t="s">
        <v>4439</v>
      </c>
      <c r="O3823" t="s">
        <v>22</v>
      </c>
    </row>
    <row r="3824" spans="1:15" hidden="1">
      <c r="A3824" t="s">
        <v>15</v>
      </c>
      <c r="B3824" t="str">
        <f>"FES1162691998"</f>
        <v>FES1162691998</v>
      </c>
      <c r="C3824" s="9">
        <v>43612</v>
      </c>
      <c r="D3824">
        <v>1</v>
      </c>
      <c r="E3824">
        <v>2170690364</v>
      </c>
      <c r="F3824" t="s">
        <v>16</v>
      </c>
      <c r="G3824" t="s">
        <v>17</v>
      </c>
      <c r="H3824" t="s">
        <v>43</v>
      </c>
      <c r="I3824" t="s">
        <v>75</v>
      </c>
      <c r="J3824" t="s">
        <v>811</v>
      </c>
      <c r="K3824" s="9">
        <v>43613</v>
      </c>
      <c r="L3824" s="10">
        <v>0.49027777777777781</v>
      </c>
      <c r="M3824" t="s">
        <v>3272</v>
      </c>
      <c r="N3824" t="s">
        <v>4440</v>
      </c>
      <c r="O3824" t="s">
        <v>22</v>
      </c>
    </row>
    <row r="3825" spans="1:15" hidden="1">
      <c r="A3825" t="s">
        <v>15</v>
      </c>
      <c r="B3825" t="str">
        <f>"FES1162692028"</f>
        <v>FES1162692028</v>
      </c>
      <c r="C3825" s="9">
        <v>43612</v>
      </c>
      <c r="D3825">
        <v>1</v>
      </c>
      <c r="E3825">
        <v>2170690403</v>
      </c>
      <c r="F3825" t="s">
        <v>16</v>
      </c>
      <c r="G3825" t="s">
        <v>17</v>
      </c>
      <c r="H3825" t="s">
        <v>141</v>
      </c>
      <c r="I3825" t="s">
        <v>142</v>
      </c>
      <c r="J3825" t="s">
        <v>2157</v>
      </c>
      <c r="K3825" s="9">
        <v>43613</v>
      </c>
      <c r="L3825" s="10">
        <v>0.42430555555555555</v>
      </c>
      <c r="M3825" t="s">
        <v>4376</v>
      </c>
      <c r="N3825" t="s">
        <v>4441</v>
      </c>
      <c r="O3825" t="s">
        <v>22</v>
      </c>
    </row>
    <row r="3826" spans="1:15" hidden="1">
      <c r="A3826" t="s">
        <v>15</v>
      </c>
      <c r="B3826" t="str">
        <f>"FES1162691972"</f>
        <v>FES1162691972</v>
      </c>
      <c r="C3826" s="9">
        <v>43612</v>
      </c>
      <c r="D3826">
        <v>1</v>
      </c>
      <c r="E3826">
        <v>2170690333</v>
      </c>
      <c r="F3826" t="s">
        <v>16</v>
      </c>
      <c r="G3826" t="s">
        <v>17</v>
      </c>
      <c r="H3826" t="s">
        <v>43</v>
      </c>
      <c r="I3826" t="s">
        <v>75</v>
      </c>
      <c r="J3826" t="s">
        <v>4284</v>
      </c>
      <c r="K3826" s="9">
        <v>43613</v>
      </c>
      <c r="L3826" s="10">
        <v>0.36249999999999999</v>
      </c>
      <c r="M3826" t="s">
        <v>2587</v>
      </c>
      <c r="N3826" t="s">
        <v>4442</v>
      </c>
      <c r="O3826" t="s">
        <v>22</v>
      </c>
    </row>
    <row r="3827" spans="1:15" hidden="1">
      <c r="A3827" t="s">
        <v>15</v>
      </c>
      <c r="B3827" t="str">
        <f>"FES1162691967"</f>
        <v>FES1162691967</v>
      </c>
      <c r="C3827" s="9">
        <v>43612</v>
      </c>
      <c r="D3827">
        <v>1</v>
      </c>
      <c r="E3827">
        <v>2170690325</v>
      </c>
      <c r="F3827" t="s">
        <v>16</v>
      </c>
      <c r="G3827" t="s">
        <v>17</v>
      </c>
      <c r="H3827" t="s">
        <v>43</v>
      </c>
      <c r="I3827" t="s">
        <v>44</v>
      </c>
      <c r="J3827" t="s">
        <v>336</v>
      </c>
      <c r="K3827" s="9">
        <v>43613</v>
      </c>
      <c r="L3827" s="10">
        <v>0.37361111111111112</v>
      </c>
      <c r="M3827" t="s">
        <v>3174</v>
      </c>
      <c r="N3827" t="s">
        <v>4443</v>
      </c>
      <c r="O3827" t="s">
        <v>22</v>
      </c>
    </row>
    <row r="3828" spans="1:15">
      <c r="A3828" s="6" t="s">
        <v>15</v>
      </c>
      <c r="B3828" s="6" t="str">
        <f>"FES1162691983"</f>
        <v>FES1162691983</v>
      </c>
      <c r="C3828" s="7">
        <v>43612</v>
      </c>
      <c r="D3828" s="6">
        <v>1</v>
      </c>
      <c r="E3828" s="6">
        <v>2170690344</v>
      </c>
      <c r="F3828" s="6" t="s">
        <v>16</v>
      </c>
      <c r="G3828" s="6" t="s">
        <v>17</v>
      </c>
      <c r="H3828" s="6" t="s">
        <v>17</v>
      </c>
      <c r="I3828" s="6" t="s">
        <v>64</v>
      </c>
      <c r="J3828" s="6" t="s">
        <v>4444</v>
      </c>
      <c r="K3828" s="7">
        <v>43613</v>
      </c>
      <c r="L3828" s="8">
        <v>0.5</v>
      </c>
      <c r="M3828" s="6" t="s">
        <v>1697</v>
      </c>
      <c r="N3828" s="14" t="s">
        <v>21</v>
      </c>
      <c r="O3828" s="6" t="s">
        <v>22</v>
      </c>
    </row>
    <row r="3829" spans="1:15">
      <c r="A3829" s="6" t="s">
        <v>15</v>
      </c>
      <c r="B3829" s="6" t="str">
        <f>"FES1162692019"</f>
        <v>FES1162692019</v>
      </c>
      <c r="C3829" s="7">
        <v>43612</v>
      </c>
      <c r="D3829" s="6">
        <v>1</v>
      </c>
      <c r="E3829" s="6">
        <v>2170690389</v>
      </c>
      <c r="F3829" s="6" t="s">
        <v>16</v>
      </c>
      <c r="G3829" s="6" t="s">
        <v>17</v>
      </c>
      <c r="H3829" s="6" t="s">
        <v>17</v>
      </c>
      <c r="I3829" s="6" t="s">
        <v>421</v>
      </c>
      <c r="J3829" s="6" t="s">
        <v>1535</v>
      </c>
      <c r="K3829" s="7">
        <v>43613</v>
      </c>
      <c r="L3829" s="8">
        <v>0.33333333333333331</v>
      </c>
      <c r="M3829" s="6" t="s">
        <v>3797</v>
      </c>
      <c r="N3829" s="14" t="s">
        <v>21</v>
      </c>
      <c r="O3829" s="6" t="s">
        <v>22</v>
      </c>
    </row>
    <row r="3830" spans="1:15" hidden="1">
      <c r="A3830" t="s">
        <v>15</v>
      </c>
      <c r="B3830" t="str">
        <f>"FES1162692017"</f>
        <v>FES1162692017</v>
      </c>
      <c r="C3830" s="9">
        <v>43612</v>
      </c>
      <c r="D3830">
        <v>1</v>
      </c>
      <c r="E3830">
        <v>2170690382</v>
      </c>
      <c r="F3830" t="s">
        <v>16</v>
      </c>
      <c r="G3830" t="s">
        <v>17</v>
      </c>
      <c r="H3830" t="s">
        <v>1055</v>
      </c>
      <c r="I3830" t="s">
        <v>2050</v>
      </c>
      <c r="J3830" t="s">
        <v>2051</v>
      </c>
      <c r="K3830" s="9">
        <v>43613</v>
      </c>
      <c r="L3830" s="10">
        <v>0.375</v>
      </c>
      <c r="M3830" t="s">
        <v>708</v>
      </c>
      <c r="N3830" t="s">
        <v>4445</v>
      </c>
      <c r="O3830" t="s">
        <v>22</v>
      </c>
    </row>
    <row r="3831" spans="1:15" hidden="1">
      <c r="A3831" t="s">
        <v>15</v>
      </c>
      <c r="B3831" t="str">
        <f>"FES1162692016"</f>
        <v>FES1162692016</v>
      </c>
      <c r="C3831" s="9">
        <v>43612</v>
      </c>
      <c r="D3831">
        <v>1</v>
      </c>
      <c r="E3831">
        <v>2170690381</v>
      </c>
      <c r="F3831" t="s">
        <v>16</v>
      </c>
      <c r="G3831" t="s">
        <v>17</v>
      </c>
      <c r="H3831" t="s">
        <v>1055</v>
      </c>
      <c r="I3831" t="s">
        <v>2050</v>
      </c>
      <c r="J3831" t="s">
        <v>2051</v>
      </c>
      <c r="K3831" s="9">
        <v>43613</v>
      </c>
      <c r="L3831" s="10">
        <v>0.41666666666666669</v>
      </c>
      <c r="M3831" t="s">
        <v>481</v>
      </c>
      <c r="N3831" t="s">
        <v>4446</v>
      </c>
      <c r="O3831" t="s">
        <v>22</v>
      </c>
    </row>
    <row r="3832" spans="1:15">
      <c r="A3832" s="6" t="s">
        <v>15</v>
      </c>
      <c r="B3832" s="6" t="str">
        <f>"FES1162692011"</f>
        <v>FES1162692011</v>
      </c>
      <c r="C3832" s="7">
        <v>43612</v>
      </c>
      <c r="D3832" s="6">
        <v>1</v>
      </c>
      <c r="E3832" s="6">
        <v>2170693076</v>
      </c>
      <c r="F3832" s="6" t="s">
        <v>16</v>
      </c>
      <c r="G3832" s="6" t="s">
        <v>17</v>
      </c>
      <c r="H3832" s="6" t="s">
        <v>17</v>
      </c>
      <c r="I3832" s="6" t="s">
        <v>18</v>
      </c>
      <c r="J3832" s="6" t="s">
        <v>2218</v>
      </c>
      <c r="K3832" s="7">
        <v>43613</v>
      </c>
      <c r="L3832" s="8">
        <v>0.3527777777777778</v>
      </c>
      <c r="M3832" s="6" t="s">
        <v>4447</v>
      </c>
      <c r="N3832" s="14" t="s">
        <v>21</v>
      </c>
      <c r="O3832" s="6" t="s">
        <v>22</v>
      </c>
    </row>
    <row r="3833" spans="1:15" hidden="1">
      <c r="A3833" t="s">
        <v>15</v>
      </c>
      <c r="B3833" t="str">
        <f>"FES1162692020"</f>
        <v>FES1162692020</v>
      </c>
      <c r="C3833" s="9">
        <v>43612</v>
      </c>
      <c r="D3833">
        <v>1</v>
      </c>
      <c r="E3833">
        <v>2170690393</v>
      </c>
      <c r="F3833" t="s">
        <v>16</v>
      </c>
      <c r="G3833" t="s">
        <v>17</v>
      </c>
      <c r="H3833" t="s">
        <v>121</v>
      </c>
      <c r="I3833" t="s">
        <v>122</v>
      </c>
      <c r="J3833" t="s">
        <v>123</v>
      </c>
      <c r="K3833" s="9">
        <v>43613</v>
      </c>
      <c r="L3833" s="10">
        <v>0.41666666666666669</v>
      </c>
      <c r="M3833" t="s">
        <v>4448</v>
      </c>
      <c r="N3833" t="s">
        <v>4449</v>
      </c>
      <c r="O3833" t="s">
        <v>22</v>
      </c>
    </row>
    <row r="3834" spans="1:15">
      <c r="A3834" s="6" t="s">
        <v>15</v>
      </c>
      <c r="B3834" s="6" t="str">
        <f>"FES1162692018"</f>
        <v>FES1162692018</v>
      </c>
      <c r="C3834" s="7">
        <v>43612</v>
      </c>
      <c r="D3834" s="6">
        <v>1</v>
      </c>
      <c r="E3834" s="6">
        <v>2170690386</v>
      </c>
      <c r="F3834" s="6" t="s">
        <v>16</v>
      </c>
      <c r="G3834" s="6" t="s">
        <v>17</v>
      </c>
      <c r="H3834" s="6" t="s">
        <v>17</v>
      </c>
      <c r="I3834" s="6" t="s">
        <v>84</v>
      </c>
      <c r="J3834" s="6" t="s">
        <v>85</v>
      </c>
      <c r="K3834" s="7">
        <v>43613</v>
      </c>
      <c r="L3834" s="8">
        <v>0.33333333333333331</v>
      </c>
      <c r="M3834" s="6" t="s">
        <v>4333</v>
      </c>
      <c r="N3834" s="14" t="s">
        <v>21</v>
      </c>
      <c r="O3834" s="6" t="s">
        <v>22</v>
      </c>
    </row>
    <row r="3835" spans="1:15" hidden="1">
      <c r="A3835" t="s">
        <v>15</v>
      </c>
      <c r="B3835" t="str">
        <f>"FES1162692021"</f>
        <v>FES1162692021</v>
      </c>
      <c r="C3835" s="9">
        <v>43612</v>
      </c>
      <c r="D3835">
        <v>1</v>
      </c>
      <c r="E3835">
        <v>2170690394</v>
      </c>
      <c r="F3835" t="s">
        <v>16</v>
      </c>
      <c r="G3835" t="s">
        <v>17</v>
      </c>
      <c r="H3835" t="s">
        <v>141</v>
      </c>
      <c r="I3835" t="s">
        <v>142</v>
      </c>
      <c r="J3835" t="s">
        <v>627</v>
      </c>
      <c r="K3835" s="9">
        <v>43613</v>
      </c>
      <c r="L3835" s="10">
        <v>0.46527777777777773</v>
      </c>
      <c r="M3835" t="s">
        <v>4450</v>
      </c>
      <c r="N3835" t="s">
        <v>4451</v>
      </c>
      <c r="O3835" t="s">
        <v>22</v>
      </c>
    </row>
    <row r="3836" spans="1:15" hidden="1">
      <c r="A3836" t="s">
        <v>15</v>
      </c>
      <c r="B3836" t="str">
        <f>"FES1162692037"</f>
        <v>FES1162692037</v>
      </c>
      <c r="C3836" s="9">
        <v>43612</v>
      </c>
      <c r="D3836">
        <v>1</v>
      </c>
      <c r="E3836" t="s">
        <v>4285</v>
      </c>
      <c r="F3836" t="s">
        <v>16</v>
      </c>
      <c r="G3836" t="s">
        <v>17</v>
      </c>
      <c r="H3836" t="s">
        <v>37</v>
      </c>
      <c r="I3836" t="s">
        <v>38</v>
      </c>
      <c r="J3836" t="s">
        <v>1429</v>
      </c>
      <c r="K3836" s="9">
        <v>43613</v>
      </c>
      <c r="L3836" s="10">
        <v>0.41666666666666669</v>
      </c>
      <c r="M3836" t="s">
        <v>4452</v>
      </c>
      <c r="N3836" t="s">
        <v>4453</v>
      </c>
      <c r="O3836" t="s">
        <v>22</v>
      </c>
    </row>
    <row r="3837" spans="1:15" hidden="1">
      <c r="A3837" t="s">
        <v>15</v>
      </c>
      <c r="B3837" t="str">
        <f>"FES1162692035"</f>
        <v>FES1162692035</v>
      </c>
      <c r="C3837" s="9">
        <v>43612</v>
      </c>
      <c r="D3837">
        <v>1</v>
      </c>
      <c r="E3837">
        <v>2170609413</v>
      </c>
      <c r="F3837" t="s">
        <v>16</v>
      </c>
      <c r="G3837" t="s">
        <v>17</v>
      </c>
      <c r="H3837" t="s">
        <v>37</v>
      </c>
      <c r="I3837" t="s">
        <v>38</v>
      </c>
      <c r="J3837" t="s">
        <v>1429</v>
      </c>
      <c r="K3837" s="9">
        <v>43613</v>
      </c>
      <c r="L3837" s="10">
        <v>0.41666666666666669</v>
      </c>
      <c r="M3837" t="s">
        <v>4454</v>
      </c>
      <c r="N3837" t="s">
        <v>4455</v>
      </c>
      <c r="O3837" t="s">
        <v>22</v>
      </c>
    </row>
    <row r="3838" spans="1:15">
      <c r="A3838" s="6" t="s">
        <v>15</v>
      </c>
      <c r="B3838" s="6" t="str">
        <f>"FES1162692007"</f>
        <v>FES1162692007</v>
      </c>
      <c r="C3838" s="7">
        <v>43612</v>
      </c>
      <c r="D3838" s="6">
        <v>1</v>
      </c>
      <c r="E3838" s="6">
        <v>2170687802</v>
      </c>
      <c r="F3838" s="6" t="s">
        <v>16</v>
      </c>
      <c r="G3838" s="6" t="s">
        <v>17</v>
      </c>
      <c r="H3838" s="6" t="s">
        <v>17</v>
      </c>
      <c r="I3838" s="6" t="s">
        <v>18</v>
      </c>
      <c r="J3838" s="6" t="s">
        <v>3277</v>
      </c>
      <c r="K3838" s="7">
        <v>43614</v>
      </c>
      <c r="L3838" s="8">
        <v>0.35069444444444442</v>
      </c>
      <c r="M3838" s="6" t="s">
        <v>4456</v>
      </c>
      <c r="N3838" s="14" t="s">
        <v>21</v>
      </c>
      <c r="O3838" s="6" t="s">
        <v>22</v>
      </c>
    </row>
    <row r="3839" spans="1:15">
      <c r="A3839" s="6" t="s">
        <v>15</v>
      </c>
      <c r="B3839" s="6" t="str">
        <f>"FES1162692000"</f>
        <v>FES1162692000</v>
      </c>
      <c r="C3839" s="7">
        <v>43612</v>
      </c>
      <c r="D3839" s="6">
        <v>1</v>
      </c>
      <c r="E3839" s="6">
        <v>2170689822</v>
      </c>
      <c r="F3839" s="6" t="s">
        <v>16</v>
      </c>
      <c r="G3839" s="6" t="s">
        <v>17</v>
      </c>
      <c r="H3839" s="6" t="s">
        <v>17</v>
      </c>
      <c r="I3839" s="6" t="s">
        <v>18</v>
      </c>
      <c r="J3839" s="6" t="s">
        <v>1368</v>
      </c>
      <c r="K3839" s="7">
        <v>43613</v>
      </c>
      <c r="L3839" s="8">
        <v>0.33333333333333331</v>
      </c>
      <c r="M3839" s="6" t="s">
        <v>4457</v>
      </c>
      <c r="N3839" s="14" t="s">
        <v>21</v>
      </c>
      <c r="O3839" s="6" t="s">
        <v>22</v>
      </c>
    </row>
    <row r="3840" spans="1:15" hidden="1">
      <c r="A3840" t="s">
        <v>15</v>
      </c>
      <c r="B3840" t="str">
        <f>"FES1162691884"</f>
        <v>FES1162691884</v>
      </c>
      <c r="C3840" s="9">
        <v>43612</v>
      </c>
      <c r="D3840">
        <v>1</v>
      </c>
      <c r="E3840">
        <v>2170683334</v>
      </c>
      <c r="F3840" t="s">
        <v>16</v>
      </c>
      <c r="G3840" t="s">
        <v>17</v>
      </c>
      <c r="H3840" t="s">
        <v>141</v>
      </c>
      <c r="I3840" t="s">
        <v>142</v>
      </c>
      <c r="J3840" t="s">
        <v>195</v>
      </c>
      <c r="K3840" s="9">
        <v>43613</v>
      </c>
      <c r="L3840" s="10">
        <v>0.33611111111111108</v>
      </c>
      <c r="M3840" t="s">
        <v>2412</v>
      </c>
      <c r="N3840" t="s">
        <v>4458</v>
      </c>
      <c r="O3840" t="s">
        <v>22</v>
      </c>
    </row>
    <row r="3841" spans="1:15" hidden="1">
      <c r="A3841" t="s">
        <v>15</v>
      </c>
      <c r="B3841" t="str">
        <f>"FES1162691885"</f>
        <v>FES1162691885</v>
      </c>
      <c r="C3841" s="9">
        <v>43612</v>
      </c>
      <c r="D3841">
        <v>1</v>
      </c>
      <c r="E3841">
        <v>2170683335</v>
      </c>
      <c r="F3841" t="s">
        <v>16</v>
      </c>
      <c r="G3841" t="s">
        <v>17</v>
      </c>
      <c r="H3841" t="s">
        <v>141</v>
      </c>
      <c r="I3841" t="s">
        <v>142</v>
      </c>
      <c r="J3841" t="s">
        <v>195</v>
      </c>
      <c r="K3841" s="9">
        <v>43613</v>
      </c>
      <c r="L3841" s="10">
        <v>0.33611111111111108</v>
      </c>
      <c r="M3841" t="s">
        <v>2412</v>
      </c>
      <c r="N3841" t="s">
        <v>4459</v>
      </c>
      <c r="O3841" t="s">
        <v>22</v>
      </c>
    </row>
    <row r="3842" spans="1:15" hidden="1">
      <c r="A3842" t="s">
        <v>15</v>
      </c>
      <c r="B3842" t="str">
        <f>"FES1162691944"</f>
        <v>FES1162691944</v>
      </c>
      <c r="C3842" s="9">
        <v>43612</v>
      </c>
      <c r="D3842">
        <v>1</v>
      </c>
      <c r="E3842">
        <v>2170690295</v>
      </c>
      <c r="F3842" t="s">
        <v>58</v>
      </c>
      <c r="G3842" t="s">
        <v>59</v>
      </c>
      <c r="H3842" t="s">
        <v>32</v>
      </c>
      <c r="I3842" t="s">
        <v>269</v>
      </c>
      <c r="J3842" t="s">
        <v>1568</v>
      </c>
      <c r="K3842" s="9">
        <v>43614</v>
      </c>
      <c r="L3842" s="10">
        <v>0.40486111111111112</v>
      </c>
      <c r="M3842" t="s">
        <v>1569</v>
      </c>
      <c r="N3842" t="s">
        <v>4460</v>
      </c>
      <c r="O3842" t="s">
        <v>494</v>
      </c>
    </row>
    <row r="3843" spans="1:15" hidden="1">
      <c r="A3843" t="s">
        <v>15</v>
      </c>
      <c r="B3843" t="str">
        <f>"FES1162692069"</f>
        <v>FES1162692069</v>
      </c>
      <c r="C3843" s="9">
        <v>43612</v>
      </c>
      <c r="D3843">
        <v>1</v>
      </c>
      <c r="E3843">
        <v>2170689747</v>
      </c>
      <c r="F3843" t="s">
        <v>16</v>
      </c>
      <c r="G3843" t="s">
        <v>17</v>
      </c>
      <c r="H3843" t="s">
        <v>32</v>
      </c>
      <c r="I3843" t="s">
        <v>33</v>
      </c>
      <c r="J3843" t="s">
        <v>3967</v>
      </c>
      <c r="K3843" s="9">
        <v>43613</v>
      </c>
      <c r="L3843" s="10">
        <v>0.43402777777777773</v>
      </c>
      <c r="M3843" t="s">
        <v>2077</v>
      </c>
      <c r="N3843" t="s">
        <v>4461</v>
      </c>
      <c r="O3843" t="s">
        <v>22</v>
      </c>
    </row>
    <row r="3844" spans="1:15" hidden="1">
      <c r="A3844" t="s">
        <v>15</v>
      </c>
      <c r="B3844" t="str">
        <f>"FES1162692051"</f>
        <v>FES1162692051</v>
      </c>
      <c r="C3844" s="9">
        <v>43612</v>
      </c>
      <c r="D3844">
        <v>1</v>
      </c>
      <c r="E3844">
        <v>2170690437</v>
      </c>
      <c r="F3844" t="s">
        <v>16</v>
      </c>
      <c r="G3844" t="s">
        <v>17</v>
      </c>
      <c r="H3844" t="s">
        <v>32</v>
      </c>
      <c r="I3844" t="s">
        <v>1207</v>
      </c>
      <c r="J3844" t="s">
        <v>1208</v>
      </c>
      <c r="K3844" s="9">
        <v>43613</v>
      </c>
      <c r="L3844" t="s">
        <v>4462</v>
      </c>
      <c r="M3844" t="s">
        <v>4463</v>
      </c>
      <c r="N3844" t="s">
        <v>4464</v>
      </c>
      <c r="O3844" t="s">
        <v>22</v>
      </c>
    </row>
    <row r="3845" spans="1:15" hidden="1">
      <c r="A3845" t="s">
        <v>15</v>
      </c>
      <c r="B3845" t="str">
        <f>"FES1162692008"</f>
        <v>FES1162692008</v>
      </c>
      <c r="C3845" s="9">
        <v>43612</v>
      </c>
      <c r="D3845">
        <v>1</v>
      </c>
      <c r="E3845">
        <v>2170690085</v>
      </c>
      <c r="F3845" t="s">
        <v>16</v>
      </c>
      <c r="G3845" t="s">
        <v>17</v>
      </c>
      <c r="H3845" t="s">
        <v>32</v>
      </c>
      <c r="I3845" t="s">
        <v>33</v>
      </c>
      <c r="J3845" t="s">
        <v>832</v>
      </c>
      <c r="K3845" s="9">
        <v>43613</v>
      </c>
      <c r="L3845" s="10">
        <v>0.4201388888888889</v>
      </c>
      <c r="M3845" t="s">
        <v>787</v>
      </c>
      <c r="N3845" t="s">
        <v>4465</v>
      </c>
      <c r="O3845" t="s">
        <v>22</v>
      </c>
    </row>
    <row r="3846" spans="1:15" hidden="1">
      <c r="A3846" t="s">
        <v>15</v>
      </c>
      <c r="B3846" t="str">
        <f>"FES1162692049"</f>
        <v>FES1162692049</v>
      </c>
      <c r="C3846" s="9">
        <v>43612</v>
      </c>
      <c r="D3846">
        <v>1</v>
      </c>
      <c r="E3846">
        <v>2170685942</v>
      </c>
      <c r="F3846" t="s">
        <v>58</v>
      </c>
      <c r="G3846" t="s">
        <v>59</v>
      </c>
      <c r="H3846" t="s">
        <v>43</v>
      </c>
      <c r="I3846" t="s">
        <v>54</v>
      </c>
      <c r="J3846" t="s">
        <v>216</v>
      </c>
      <c r="K3846" s="9">
        <v>43613</v>
      </c>
      <c r="L3846" s="10">
        <v>0.38958333333333334</v>
      </c>
      <c r="M3846" t="s">
        <v>1445</v>
      </c>
      <c r="N3846" t="s">
        <v>4466</v>
      </c>
      <c r="O3846" t="s">
        <v>22</v>
      </c>
    </row>
    <row r="3847" spans="1:15">
      <c r="A3847" s="6" t="s">
        <v>15</v>
      </c>
      <c r="B3847" s="6" t="str">
        <f>"FES1162692044"</f>
        <v>FES1162692044</v>
      </c>
      <c r="C3847" s="7">
        <v>43612</v>
      </c>
      <c r="D3847" s="6">
        <v>1</v>
      </c>
      <c r="E3847" s="6">
        <v>2170690426</v>
      </c>
      <c r="F3847" s="6" t="s">
        <v>16</v>
      </c>
      <c r="G3847" s="6" t="s">
        <v>17</v>
      </c>
      <c r="H3847" s="6" t="s">
        <v>17</v>
      </c>
      <c r="I3847" s="6" t="s">
        <v>613</v>
      </c>
      <c r="J3847" s="6" t="s">
        <v>3259</v>
      </c>
      <c r="K3847" s="7">
        <v>43613</v>
      </c>
      <c r="L3847" s="8">
        <v>0.33333333333333331</v>
      </c>
      <c r="M3847" s="6" t="s">
        <v>4467</v>
      </c>
      <c r="N3847" s="14" t="s">
        <v>21</v>
      </c>
      <c r="O3847" s="6" t="s">
        <v>22</v>
      </c>
    </row>
    <row r="3848" spans="1:15" hidden="1">
      <c r="A3848" t="s">
        <v>15</v>
      </c>
      <c r="B3848" t="str">
        <f>"FES1162692055"</f>
        <v>FES1162692055</v>
      </c>
      <c r="C3848" s="9">
        <v>43612</v>
      </c>
      <c r="D3848">
        <v>1</v>
      </c>
      <c r="E3848">
        <v>2170690443</v>
      </c>
      <c r="F3848" t="s">
        <v>16</v>
      </c>
      <c r="G3848" t="s">
        <v>17</v>
      </c>
      <c r="H3848" t="s">
        <v>290</v>
      </c>
      <c r="I3848" t="s">
        <v>291</v>
      </c>
      <c r="J3848" t="s">
        <v>4287</v>
      </c>
      <c r="K3848" s="9">
        <v>43613</v>
      </c>
      <c r="L3848" s="10">
        <v>0.3666666666666667</v>
      </c>
      <c r="M3848" t="s">
        <v>4468</v>
      </c>
      <c r="N3848" t="s">
        <v>4469</v>
      </c>
      <c r="O3848" t="s">
        <v>22</v>
      </c>
    </row>
    <row r="3849" spans="1:15" hidden="1">
      <c r="A3849" t="s">
        <v>15</v>
      </c>
      <c r="B3849" t="str">
        <f>"FES1162692038"</f>
        <v>FES1162692038</v>
      </c>
      <c r="C3849" s="9">
        <v>43612</v>
      </c>
      <c r="D3849">
        <v>1</v>
      </c>
      <c r="E3849">
        <v>2170690419</v>
      </c>
      <c r="F3849" t="s">
        <v>16</v>
      </c>
      <c r="G3849" t="s">
        <v>17</v>
      </c>
      <c r="H3849" t="s">
        <v>290</v>
      </c>
      <c r="I3849" t="s">
        <v>309</v>
      </c>
      <c r="J3849" t="s">
        <v>4288</v>
      </c>
      <c r="K3849" s="9">
        <v>43613</v>
      </c>
      <c r="L3849" s="10">
        <v>0.41666666666666669</v>
      </c>
      <c r="M3849" t="s">
        <v>4470</v>
      </c>
      <c r="N3849" t="s">
        <v>4471</v>
      </c>
      <c r="O3849" t="s">
        <v>22</v>
      </c>
    </row>
    <row r="3850" spans="1:15">
      <c r="A3850" s="6" t="s">
        <v>15</v>
      </c>
      <c r="B3850" s="6" t="str">
        <f>"009935723275"</f>
        <v>009935723275</v>
      </c>
      <c r="C3850" s="7">
        <v>43612</v>
      </c>
      <c r="D3850" s="6">
        <v>1</v>
      </c>
      <c r="E3850" s="6">
        <v>1162686155</v>
      </c>
      <c r="F3850" s="6" t="s">
        <v>16</v>
      </c>
      <c r="G3850" s="6" t="s">
        <v>17</v>
      </c>
      <c r="H3850" s="6" t="s">
        <v>17</v>
      </c>
      <c r="I3850" s="6" t="s">
        <v>103</v>
      </c>
      <c r="J3850" s="6" t="s">
        <v>2839</v>
      </c>
      <c r="K3850" s="7">
        <v>43613</v>
      </c>
      <c r="L3850" s="8">
        <v>0.33333333333333331</v>
      </c>
      <c r="M3850" s="6" t="s">
        <v>56</v>
      </c>
      <c r="N3850" s="14" t="s">
        <v>21</v>
      </c>
      <c r="O3850" s="6" t="s">
        <v>4472</v>
      </c>
    </row>
    <row r="3851" spans="1:15">
      <c r="A3851" s="6" t="s">
        <v>15</v>
      </c>
      <c r="B3851" s="6" t="str">
        <f>"FES1162692043"</f>
        <v>FES1162692043</v>
      </c>
      <c r="C3851" s="7">
        <v>43612</v>
      </c>
      <c r="D3851" s="6">
        <v>1</v>
      </c>
      <c r="E3851" s="6">
        <v>2170690424</v>
      </c>
      <c r="F3851" s="6" t="s">
        <v>16</v>
      </c>
      <c r="G3851" s="6" t="s">
        <v>17</v>
      </c>
      <c r="H3851" s="6" t="s">
        <v>17</v>
      </c>
      <c r="I3851" s="6" t="s">
        <v>613</v>
      </c>
      <c r="J3851" s="6" t="s">
        <v>3259</v>
      </c>
      <c r="K3851" s="7">
        <v>43613</v>
      </c>
      <c r="L3851" s="8">
        <v>0.33333333333333331</v>
      </c>
      <c r="M3851" s="6" t="s">
        <v>4467</v>
      </c>
      <c r="N3851" s="14" t="s">
        <v>21</v>
      </c>
      <c r="O3851" s="6" t="s">
        <v>22</v>
      </c>
    </row>
    <row r="3852" spans="1:15" hidden="1">
      <c r="A3852" t="s">
        <v>15</v>
      </c>
      <c r="B3852" t="str">
        <f>"FES1162692029"</f>
        <v>FES1162692029</v>
      </c>
      <c r="C3852" s="9">
        <v>43612</v>
      </c>
      <c r="D3852">
        <v>1</v>
      </c>
      <c r="E3852">
        <v>2170690405</v>
      </c>
      <c r="F3852" t="s">
        <v>16</v>
      </c>
      <c r="G3852" t="s">
        <v>17</v>
      </c>
      <c r="H3852" t="s">
        <v>290</v>
      </c>
      <c r="I3852" t="s">
        <v>291</v>
      </c>
      <c r="J3852" t="s">
        <v>1744</v>
      </c>
      <c r="K3852" s="9">
        <v>43613</v>
      </c>
      <c r="L3852" s="10">
        <v>0.41180555555555554</v>
      </c>
      <c r="M3852" t="s">
        <v>4421</v>
      </c>
      <c r="N3852" t="s">
        <v>4473</v>
      </c>
      <c r="O3852" t="s">
        <v>22</v>
      </c>
    </row>
    <row r="3853" spans="1:15">
      <c r="A3853" s="6" t="s">
        <v>15</v>
      </c>
      <c r="B3853" s="6" t="str">
        <f>"FES1162692041"</f>
        <v>FES1162692041</v>
      </c>
      <c r="C3853" s="7">
        <v>43612</v>
      </c>
      <c r="D3853" s="6">
        <v>1</v>
      </c>
      <c r="E3853" s="6">
        <v>2170690418</v>
      </c>
      <c r="F3853" s="6" t="s">
        <v>16</v>
      </c>
      <c r="G3853" s="6" t="s">
        <v>17</v>
      </c>
      <c r="H3853" s="6" t="s">
        <v>17</v>
      </c>
      <c r="I3853" s="6" t="s">
        <v>613</v>
      </c>
      <c r="J3853" s="6" t="s">
        <v>3259</v>
      </c>
      <c r="K3853" s="7">
        <v>43613</v>
      </c>
      <c r="L3853" s="8">
        <v>0.34583333333333338</v>
      </c>
      <c r="M3853" s="6" t="s">
        <v>4474</v>
      </c>
      <c r="N3853" s="14" t="s">
        <v>21</v>
      </c>
      <c r="O3853" s="6" t="s">
        <v>22</v>
      </c>
    </row>
    <row r="3854" spans="1:15" hidden="1">
      <c r="A3854" t="s">
        <v>15</v>
      </c>
      <c r="B3854" t="str">
        <f>"FES1162692053"</f>
        <v>FES1162692053</v>
      </c>
      <c r="C3854" s="9">
        <v>43612</v>
      </c>
      <c r="D3854">
        <v>1</v>
      </c>
      <c r="E3854">
        <v>2170690439</v>
      </c>
      <c r="F3854" t="s">
        <v>16</v>
      </c>
      <c r="G3854" t="s">
        <v>17</v>
      </c>
      <c r="H3854" t="s">
        <v>59</v>
      </c>
      <c r="I3854" t="s">
        <v>1984</v>
      </c>
      <c r="J3854" t="s">
        <v>2605</v>
      </c>
      <c r="K3854" s="9">
        <v>43613</v>
      </c>
      <c r="L3854" s="10">
        <v>0.33333333333333331</v>
      </c>
      <c r="M3854" t="s">
        <v>1536</v>
      </c>
      <c r="N3854" t="s">
        <v>4475</v>
      </c>
      <c r="O3854" t="s">
        <v>22</v>
      </c>
    </row>
    <row r="3855" spans="1:15" hidden="1">
      <c r="A3855" t="s">
        <v>15</v>
      </c>
      <c r="B3855" t="str">
        <f>"FES1162692054"</f>
        <v>FES1162692054</v>
      </c>
      <c r="C3855" s="9">
        <v>43612</v>
      </c>
      <c r="D3855">
        <v>1</v>
      </c>
      <c r="E3855">
        <v>2170690440</v>
      </c>
      <c r="F3855" t="s">
        <v>16</v>
      </c>
      <c r="G3855" t="s">
        <v>17</v>
      </c>
      <c r="H3855" t="s">
        <v>290</v>
      </c>
      <c r="I3855" t="s">
        <v>291</v>
      </c>
      <c r="J3855" t="s">
        <v>297</v>
      </c>
      <c r="K3855" s="9">
        <v>43613</v>
      </c>
      <c r="L3855" s="10">
        <v>0.34375</v>
      </c>
      <c r="M3855" t="s">
        <v>1291</v>
      </c>
      <c r="N3855" t="s">
        <v>4476</v>
      </c>
      <c r="O3855" t="s">
        <v>22</v>
      </c>
    </row>
    <row r="3856" spans="1:15">
      <c r="A3856" s="6" t="s">
        <v>15</v>
      </c>
      <c r="B3856" s="6" t="str">
        <f>"FES1162691999"</f>
        <v>FES1162691999</v>
      </c>
      <c r="C3856" s="7">
        <v>43612</v>
      </c>
      <c r="D3856" s="6">
        <v>1</v>
      </c>
      <c r="E3856" s="6">
        <v>21706900005</v>
      </c>
      <c r="F3856" s="6" t="s">
        <v>16</v>
      </c>
      <c r="G3856" s="6" t="s">
        <v>17</v>
      </c>
      <c r="H3856" s="6" t="s">
        <v>17</v>
      </c>
      <c r="I3856" s="6" t="s">
        <v>103</v>
      </c>
      <c r="J3856" s="6" t="s">
        <v>4326</v>
      </c>
      <c r="K3856" s="7">
        <v>43613</v>
      </c>
      <c r="L3856" s="8">
        <v>0.31805555555555554</v>
      </c>
      <c r="M3856" s="6" t="s">
        <v>4477</v>
      </c>
      <c r="N3856" s="14" t="s">
        <v>21</v>
      </c>
      <c r="O3856" s="6" t="s">
        <v>22</v>
      </c>
    </row>
    <row r="3857" spans="1:15">
      <c r="A3857" s="6" t="s">
        <v>15</v>
      </c>
      <c r="B3857" s="6" t="str">
        <f>"FES1162692075"</f>
        <v>FES1162692075</v>
      </c>
      <c r="C3857" s="7">
        <v>43612</v>
      </c>
      <c r="D3857" s="6">
        <v>1</v>
      </c>
      <c r="E3857" s="6">
        <v>2170690464</v>
      </c>
      <c r="F3857" s="6" t="s">
        <v>16</v>
      </c>
      <c r="G3857" s="6" t="s">
        <v>17</v>
      </c>
      <c r="H3857" s="6" t="s">
        <v>17</v>
      </c>
      <c r="I3857" s="6" t="s">
        <v>610</v>
      </c>
      <c r="J3857" s="6" t="s">
        <v>2046</v>
      </c>
      <c r="K3857" s="7">
        <v>43613</v>
      </c>
      <c r="L3857" s="8">
        <v>0.35833333333333334</v>
      </c>
      <c r="M3857" s="6" t="s">
        <v>2047</v>
      </c>
      <c r="N3857" s="14" t="s">
        <v>21</v>
      </c>
      <c r="O3857" s="6" t="s">
        <v>22</v>
      </c>
    </row>
    <row r="3858" spans="1:15" hidden="1">
      <c r="A3858" t="s">
        <v>15</v>
      </c>
      <c r="B3858" t="str">
        <f>"FES1162692060"</f>
        <v>FES1162692060</v>
      </c>
      <c r="C3858" s="9">
        <v>43612</v>
      </c>
      <c r="D3858">
        <v>1</v>
      </c>
      <c r="E3858">
        <v>2170690446</v>
      </c>
      <c r="F3858" t="s">
        <v>16</v>
      </c>
      <c r="G3858" t="s">
        <v>17</v>
      </c>
      <c r="H3858" t="s">
        <v>141</v>
      </c>
      <c r="I3858" t="s">
        <v>142</v>
      </c>
      <c r="J3858" t="s">
        <v>228</v>
      </c>
      <c r="K3858" s="9">
        <v>43613</v>
      </c>
      <c r="L3858" s="10">
        <v>0.45833333333333331</v>
      </c>
      <c r="M3858" t="s">
        <v>4325</v>
      </c>
      <c r="N3858" t="s">
        <v>4478</v>
      </c>
      <c r="O3858" t="s">
        <v>22</v>
      </c>
    </row>
    <row r="3859" spans="1:15" hidden="1">
      <c r="A3859" t="s">
        <v>15</v>
      </c>
      <c r="B3859" t="str">
        <f>"FES1162692059"</f>
        <v>FES1162692059</v>
      </c>
      <c r="C3859" s="9">
        <v>43612</v>
      </c>
      <c r="D3859">
        <v>1</v>
      </c>
      <c r="E3859">
        <v>2170690441</v>
      </c>
      <c r="F3859" t="s">
        <v>16</v>
      </c>
      <c r="G3859" t="s">
        <v>17</v>
      </c>
      <c r="H3859" t="s">
        <v>32</v>
      </c>
      <c r="I3859" t="s">
        <v>33</v>
      </c>
      <c r="J3859" t="s">
        <v>360</v>
      </c>
      <c r="K3859" s="9">
        <v>43613</v>
      </c>
      <c r="L3859" s="10">
        <v>0.3611111111111111</v>
      </c>
      <c r="M3859" t="s">
        <v>361</v>
      </c>
      <c r="N3859" t="s">
        <v>4479</v>
      </c>
      <c r="O3859" t="s">
        <v>22</v>
      </c>
    </row>
    <row r="3860" spans="1:15" hidden="1">
      <c r="A3860" t="s">
        <v>15</v>
      </c>
      <c r="B3860" t="str">
        <f>"FES1162692070"</f>
        <v>FES1162692070</v>
      </c>
      <c r="C3860" s="9">
        <v>43612</v>
      </c>
      <c r="D3860">
        <v>1</v>
      </c>
      <c r="E3860">
        <v>2170690460</v>
      </c>
      <c r="F3860" t="s">
        <v>16</v>
      </c>
      <c r="G3860" t="s">
        <v>17</v>
      </c>
      <c r="H3860" t="s">
        <v>32</v>
      </c>
      <c r="I3860" t="s">
        <v>33</v>
      </c>
      <c r="J3860" t="s">
        <v>778</v>
      </c>
      <c r="K3860" s="9">
        <v>43613</v>
      </c>
      <c r="L3860" s="10">
        <v>0.39583333333333331</v>
      </c>
      <c r="M3860" t="s">
        <v>3308</v>
      </c>
      <c r="N3860" t="s">
        <v>4480</v>
      </c>
      <c r="O3860" t="s">
        <v>22</v>
      </c>
    </row>
    <row r="3861" spans="1:15" hidden="1">
      <c r="A3861" t="s">
        <v>15</v>
      </c>
      <c r="B3861" t="str">
        <f>"FES1162691969"</f>
        <v>FES1162691969</v>
      </c>
      <c r="C3861" s="9">
        <v>43612</v>
      </c>
      <c r="D3861">
        <v>1</v>
      </c>
      <c r="E3861">
        <v>2170690330</v>
      </c>
      <c r="F3861" t="s">
        <v>16</v>
      </c>
      <c r="G3861" t="s">
        <v>17</v>
      </c>
      <c r="H3861" t="s">
        <v>425</v>
      </c>
      <c r="I3861" t="s">
        <v>426</v>
      </c>
      <c r="J3861" t="s">
        <v>783</v>
      </c>
      <c r="K3861" s="9">
        <v>43613</v>
      </c>
      <c r="L3861" s="10">
        <v>0.40833333333333338</v>
      </c>
      <c r="M3861" t="s">
        <v>784</v>
      </c>
      <c r="N3861" t="s">
        <v>4481</v>
      </c>
      <c r="O3861" t="s">
        <v>22</v>
      </c>
    </row>
    <row r="3862" spans="1:15">
      <c r="A3862" s="6" t="s">
        <v>15</v>
      </c>
      <c r="B3862" s="6" t="str">
        <f>"FES1162692050"</f>
        <v>FES1162692050</v>
      </c>
      <c r="C3862" s="7">
        <v>43612</v>
      </c>
      <c r="D3862" s="6">
        <v>1</v>
      </c>
      <c r="E3862" s="6">
        <v>2170690436</v>
      </c>
      <c r="F3862" s="6" t="s">
        <v>16</v>
      </c>
      <c r="G3862" s="6" t="s">
        <v>17</v>
      </c>
      <c r="H3862" s="6" t="s">
        <v>17</v>
      </c>
      <c r="I3862" s="6" t="s">
        <v>64</v>
      </c>
      <c r="J3862" s="6" t="s">
        <v>65</v>
      </c>
      <c r="K3862" s="7">
        <v>43613</v>
      </c>
      <c r="L3862" s="8">
        <v>0.35138888888888892</v>
      </c>
      <c r="M3862" s="6" t="s">
        <v>2380</v>
      </c>
      <c r="N3862" s="14" t="s">
        <v>21</v>
      </c>
      <c r="O3862" s="6" t="s">
        <v>22</v>
      </c>
    </row>
    <row r="3863" spans="1:15">
      <c r="A3863" s="6" t="s">
        <v>15</v>
      </c>
      <c r="B3863" s="6" t="str">
        <f>"FES1162692062"</f>
        <v>FES1162692062</v>
      </c>
      <c r="C3863" s="7">
        <v>43612</v>
      </c>
      <c r="D3863" s="6">
        <v>1</v>
      </c>
      <c r="E3863" s="6">
        <v>2170690448</v>
      </c>
      <c r="F3863" s="6" t="s">
        <v>16</v>
      </c>
      <c r="G3863" s="6" t="s">
        <v>17</v>
      </c>
      <c r="H3863" s="6" t="s">
        <v>17</v>
      </c>
      <c r="I3863" s="6" t="s">
        <v>18</v>
      </c>
      <c r="J3863" s="6" t="s">
        <v>581</v>
      </c>
      <c r="K3863" s="7">
        <v>43613</v>
      </c>
      <c r="L3863" s="8">
        <v>0.42777777777777781</v>
      </c>
      <c r="M3863" s="6" t="s">
        <v>2268</v>
      </c>
      <c r="N3863" s="14" t="s">
        <v>21</v>
      </c>
      <c r="O3863" s="6" t="s">
        <v>22</v>
      </c>
    </row>
    <row r="3864" spans="1:15">
      <c r="A3864" s="6" t="s">
        <v>15</v>
      </c>
      <c r="B3864" s="6" t="str">
        <f>"FES1162692032"</f>
        <v>FES1162692032</v>
      </c>
      <c r="C3864" s="7">
        <v>43612</v>
      </c>
      <c r="D3864" s="6">
        <v>1</v>
      </c>
      <c r="E3864" s="6">
        <v>2170689825</v>
      </c>
      <c r="F3864" s="6" t="s">
        <v>16</v>
      </c>
      <c r="G3864" s="6" t="s">
        <v>17</v>
      </c>
      <c r="H3864" s="6" t="s">
        <v>17</v>
      </c>
      <c r="I3864" s="6" t="s">
        <v>64</v>
      </c>
      <c r="J3864" s="6" t="s">
        <v>98</v>
      </c>
      <c r="K3864" s="7">
        <v>43613</v>
      </c>
      <c r="L3864" s="8">
        <v>0.33749999999999997</v>
      </c>
      <c r="M3864" s="6" t="s">
        <v>694</v>
      </c>
      <c r="N3864" s="14" t="s">
        <v>21</v>
      </c>
      <c r="O3864" s="6" t="s">
        <v>22</v>
      </c>
    </row>
    <row r="3865" spans="1:15">
      <c r="A3865" s="6" t="s">
        <v>15</v>
      </c>
      <c r="B3865" s="6" t="str">
        <f>"FES1162692063"</f>
        <v>FES1162692063</v>
      </c>
      <c r="C3865" s="7">
        <v>43612</v>
      </c>
      <c r="D3865" s="6">
        <v>1</v>
      </c>
      <c r="E3865" s="6">
        <v>2170690449</v>
      </c>
      <c r="F3865" s="6" t="s">
        <v>16</v>
      </c>
      <c r="G3865" s="6" t="s">
        <v>17</v>
      </c>
      <c r="H3865" s="6" t="s">
        <v>17</v>
      </c>
      <c r="I3865" s="6" t="s">
        <v>18</v>
      </c>
      <c r="J3865" s="6" t="s">
        <v>19</v>
      </c>
      <c r="K3865" s="7">
        <v>43613</v>
      </c>
      <c r="L3865" s="8">
        <v>0.37222222222222223</v>
      </c>
      <c r="M3865" s="6" t="s">
        <v>1978</v>
      </c>
      <c r="N3865" s="14" t="s">
        <v>21</v>
      </c>
      <c r="O3865" s="6" t="s">
        <v>22</v>
      </c>
    </row>
    <row r="3866" spans="1:15" hidden="1">
      <c r="A3866" t="s">
        <v>15</v>
      </c>
      <c r="B3866" t="str">
        <f>"FES1162692026"</f>
        <v>FES1162692026</v>
      </c>
      <c r="C3866" s="9">
        <v>43612</v>
      </c>
      <c r="D3866">
        <v>1</v>
      </c>
      <c r="E3866">
        <v>2170690399</v>
      </c>
      <c r="F3866" t="s">
        <v>16</v>
      </c>
      <c r="G3866" t="s">
        <v>17</v>
      </c>
      <c r="H3866" t="s">
        <v>290</v>
      </c>
      <c r="I3866" t="s">
        <v>291</v>
      </c>
      <c r="J3866" t="s">
        <v>1018</v>
      </c>
      <c r="K3866" s="9">
        <v>43613</v>
      </c>
      <c r="L3866" s="10">
        <v>0.39930555555555558</v>
      </c>
      <c r="M3866" t="s">
        <v>1483</v>
      </c>
      <c r="N3866" t="s">
        <v>4482</v>
      </c>
      <c r="O3866" t="s">
        <v>22</v>
      </c>
    </row>
    <row r="3867" spans="1:15" hidden="1">
      <c r="A3867" t="s">
        <v>15</v>
      </c>
      <c r="B3867" t="str">
        <f>"FES1162692030"</f>
        <v>FES1162692030</v>
      </c>
      <c r="C3867" s="9">
        <v>43612</v>
      </c>
      <c r="D3867">
        <v>1</v>
      </c>
      <c r="E3867">
        <v>2170690408</v>
      </c>
      <c r="F3867" t="s">
        <v>16</v>
      </c>
      <c r="G3867" t="s">
        <v>17</v>
      </c>
      <c r="H3867" t="s">
        <v>300</v>
      </c>
      <c r="I3867" t="s">
        <v>1553</v>
      </c>
      <c r="J3867" t="s">
        <v>2822</v>
      </c>
      <c r="K3867" t="s">
        <v>1730</v>
      </c>
      <c r="L3867"/>
      <c r="M3867" t="s">
        <v>1731</v>
      </c>
      <c r="N3867" t="s">
        <v>4483</v>
      </c>
      <c r="O3867" t="s">
        <v>22</v>
      </c>
    </row>
    <row r="3868" spans="1:15" hidden="1">
      <c r="A3868" t="s">
        <v>15</v>
      </c>
      <c r="B3868" t="str">
        <f>"FES1162692047"</f>
        <v>FES1162692047</v>
      </c>
      <c r="C3868" s="9">
        <v>43612</v>
      </c>
      <c r="D3868">
        <v>1</v>
      </c>
      <c r="E3868">
        <v>2170690432</v>
      </c>
      <c r="F3868" t="s">
        <v>16</v>
      </c>
      <c r="G3868" t="s">
        <v>17</v>
      </c>
      <c r="H3868" t="s">
        <v>290</v>
      </c>
      <c r="I3868" t="s">
        <v>309</v>
      </c>
      <c r="J3868" t="s">
        <v>4289</v>
      </c>
      <c r="K3868" s="9">
        <v>43613</v>
      </c>
      <c r="L3868" s="10">
        <v>0.42222222222222222</v>
      </c>
      <c r="M3868" t="s">
        <v>4484</v>
      </c>
      <c r="N3868" t="s">
        <v>4485</v>
      </c>
      <c r="O3868" t="s">
        <v>22</v>
      </c>
    </row>
    <row r="3869" spans="1:15">
      <c r="A3869" s="6" t="s">
        <v>15</v>
      </c>
      <c r="B3869" s="6" t="str">
        <f>"FES1162692036"</f>
        <v>FES1162692036</v>
      </c>
      <c r="C3869" s="7">
        <v>43612</v>
      </c>
      <c r="D3869" s="6">
        <v>1</v>
      </c>
      <c r="E3869" s="6">
        <v>2170690414</v>
      </c>
      <c r="F3869" s="6" t="s">
        <v>16</v>
      </c>
      <c r="G3869" s="6" t="s">
        <v>17</v>
      </c>
      <c r="H3869" s="6" t="s">
        <v>17</v>
      </c>
      <c r="I3869" s="6" t="s">
        <v>613</v>
      </c>
      <c r="J3869" s="6" t="s">
        <v>706</v>
      </c>
      <c r="K3869" s="7">
        <v>43613</v>
      </c>
      <c r="L3869" s="8">
        <v>0.27083333333333331</v>
      </c>
      <c r="M3869" s="6" t="s">
        <v>4486</v>
      </c>
      <c r="N3869" s="14" t="s">
        <v>21</v>
      </c>
      <c r="O3869" s="6" t="s">
        <v>22</v>
      </c>
    </row>
    <row r="3870" spans="1:15">
      <c r="A3870" s="6" t="s">
        <v>15</v>
      </c>
      <c r="B3870" s="6" t="str">
        <f>"FES1162692045"</f>
        <v>FES1162692045</v>
      </c>
      <c r="C3870" s="7">
        <v>43612</v>
      </c>
      <c r="D3870" s="6">
        <v>1</v>
      </c>
      <c r="E3870" s="6">
        <v>2170690428</v>
      </c>
      <c r="F3870" s="6" t="s">
        <v>16</v>
      </c>
      <c r="G3870" s="6" t="s">
        <v>17</v>
      </c>
      <c r="H3870" s="6" t="s">
        <v>17</v>
      </c>
      <c r="I3870" s="6" t="s">
        <v>613</v>
      </c>
      <c r="J3870" s="6" t="s">
        <v>3259</v>
      </c>
      <c r="K3870" s="7">
        <v>43613</v>
      </c>
      <c r="L3870" s="8">
        <v>0.34513888888888888</v>
      </c>
      <c r="M3870" s="6" t="s">
        <v>4474</v>
      </c>
      <c r="N3870" s="14" t="s">
        <v>21</v>
      </c>
      <c r="O3870" s="6" t="s">
        <v>22</v>
      </c>
    </row>
    <row r="3871" spans="1:15">
      <c r="A3871" s="6" t="s">
        <v>15</v>
      </c>
      <c r="B3871" s="6" t="str">
        <f>"FES1162692061"</f>
        <v>FES1162692061</v>
      </c>
      <c r="C3871" s="7">
        <v>43612</v>
      </c>
      <c r="D3871" s="6">
        <v>1</v>
      </c>
      <c r="E3871" s="6">
        <v>2170690447</v>
      </c>
      <c r="F3871" s="6" t="s">
        <v>16</v>
      </c>
      <c r="G3871" s="6" t="s">
        <v>17</v>
      </c>
      <c r="H3871" s="6" t="s">
        <v>17</v>
      </c>
      <c r="I3871" s="6" t="s">
        <v>18</v>
      </c>
      <c r="J3871" s="6" t="s">
        <v>689</v>
      </c>
      <c r="K3871" s="7">
        <v>43613</v>
      </c>
      <c r="L3871" s="8">
        <v>0.2986111111111111</v>
      </c>
      <c r="M3871" s="6" t="s">
        <v>4487</v>
      </c>
      <c r="N3871" s="14" t="s">
        <v>21</v>
      </c>
      <c r="O3871" s="6" t="s">
        <v>22</v>
      </c>
    </row>
    <row r="3872" spans="1:15" hidden="1">
      <c r="A3872" t="s">
        <v>15</v>
      </c>
      <c r="B3872" t="str">
        <f>"FES1162692074"</f>
        <v>FES1162692074</v>
      </c>
      <c r="C3872" s="9">
        <v>43612</v>
      </c>
      <c r="D3872">
        <v>1</v>
      </c>
      <c r="E3872">
        <v>2170690463</v>
      </c>
      <c r="F3872" t="s">
        <v>16</v>
      </c>
      <c r="G3872" t="s">
        <v>17</v>
      </c>
      <c r="H3872" t="s">
        <v>43</v>
      </c>
      <c r="I3872" t="s">
        <v>738</v>
      </c>
      <c r="J3872" t="s">
        <v>4290</v>
      </c>
      <c r="K3872" s="9">
        <v>43613</v>
      </c>
      <c r="L3872" s="10">
        <v>0.52708333333333335</v>
      </c>
      <c r="M3872" t="s">
        <v>4488</v>
      </c>
      <c r="N3872" t="s">
        <v>4489</v>
      </c>
      <c r="O3872" t="s">
        <v>22</v>
      </c>
    </row>
    <row r="3873" spans="1:15" hidden="1">
      <c r="A3873" t="s">
        <v>15</v>
      </c>
      <c r="B3873" t="str">
        <f>"FES1162692067"</f>
        <v>FES1162692067</v>
      </c>
      <c r="C3873" s="9">
        <v>43612</v>
      </c>
      <c r="D3873">
        <v>1</v>
      </c>
      <c r="E3873">
        <v>2170690457</v>
      </c>
      <c r="F3873" t="s">
        <v>16</v>
      </c>
      <c r="G3873" t="s">
        <v>17</v>
      </c>
      <c r="H3873" t="s">
        <v>43</v>
      </c>
      <c r="I3873" t="s">
        <v>75</v>
      </c>
      <c r="J3873" t="s">
        <v>222</v>
      </c>
      <c r="K3873" s="9">
        <v>43613</v>
      </c>
      <c r="L3873" s="10">
        <v>0.47291666666666665</v>
      </c>
      <c r="M3873" t="s">
        <v>4490</v>
      </c>
      <c r="N3873" t="s">
        <v>4491</v>
      </c>
      <c r="O3873" t="s">
        <v>22</v>
      </c>
    </row>
    <row r="3874" spans="1:15" hidden="1">
      <c r="A3874" t="s">
        <v>15</v>
      </c>
      <c r="B3874" t="str">
        <f>"FES1162692084"</f>
        <v>FES1162692084</v>
      </c>
      <c r="C3874" s="9">
        <v>43612</v>
      </c>
      <c r="D3874">
        <v>1</v>
      </c>
      <c r="E3874">
        <v>2170690465</v>
      </c>
      <c r="F3874" t="s">
        <v>16</v>
      </c>
      <c r="G3874" t="s">
        <v>17</v>
      </c>
      <c r="H3874" t="s">
        <v>37</v>
      </c>
      <c r="I3874" t="s">
        <v>38</v>
      </c>
      <c r="J3874" t="s">
        <v>182</v>
      </c>
      <c r="K3874" s="9">
        <v>43613</v>
      </c>
      <c r="L3874" s="10">
        <v>0.42569444444444443</v>
      </c>
      <c r="M3874" t="s">
        <v>2100</v>
      </c>
      <c r="N3874" t="s">
        <v>4492</v>
      </c>
      <c r="O3874" t="s">
        <v>22</v>
      </c>
    </row>
    <row r="3875" spans="1:15" hidden="1">
      <c r="A3875" t="s">
        <v>15</v>
      </c>
      <c r="B3875" t="str">
        <f>"FES1162692085"</f>
        <v>FES1162692085</v>
      </c>
      <c r="C3875" s="9">
        <v>43612</v>
      </c>
      <c r="D3875">
        <v>1</v>
      </c>
      <c r="E3875">
        <v>2170690471</v>
      </c>
      <c r="F3875" t="s">
        <v>16</v>
      </c>
      <c r="G3875" t="s">
        <v>17</v>
      </c>
      <c r="H3875" t="s">
        <v>32</v>
      </c>
      <c r="I3875" t="s">
        <v>33</v>
      </c>
      <c r="J3875" t="s">
        <v>34</v>
      </c>
      <c r="K3875" s="9">
        <v>43614</v>
      </c>
      <c r="L3875" s="10">
        <v>0.3263888888888889</v>
      </c>
      <c r="M3875" t="s">
        <v>4493</v>
      </c>
      <c r="N3875" t="s">
        <v>4494</v>
      </c>
      <c r="O3875" t="s">
        <v>22</v>
      </c>
    </row>
    <row r="3876" spans="1:15" hidden="1">
      <c r="A3876" t="s">
        <v>15</v>
      </c>
      <c r="B3876" t="str">
        <f>"FES1162692093"</f>
        <v>FES1162692093</v>
      </c>
      <c r="C3876" s="9">
        <v>43612</v>
      </c>
      <c r="D3876">
        <v>1</v>
      </c>
      <c r="E3876">
        <v>2170690480</v>
      </c>
      <c r="F3876" t="s">
        <v>16</v>
      </c>
      <c r="G3876" t="s">
        <v>17</v>
      </c>
      <c r="H3876" t="s">
        <v>32</v>
      </c>
      <c r="I3876" t="s">
        <v>1207</v>
      </c>
      <c r="J3876" t="s">
        <v>1208</v>
      </c>
      <c r="K3876" s="9">
        <v>43613</v>
      </c>
      <c r="L3876" t="s">
        <v>4495</v>
      </c>
      <c r="M3876" t="s">
        <v>4496</v>
      </c>
      <c r="N3876" t="s">
        <v>4464</v>
      </c>
      <c r="O3876" t="s">
        <v>22</v>
      </c>
    </row>
    <row r="3877" spans="1:15" hidden="1">
      <c r="A3877" t="s">
        <v>15</v>
      </c>
      <c r="B3877" t="str">
        <f>"FES1162692089"</f>
        <v>FES1162692089</v>
      </c>
      <c r="C3877" s="9">
        <v>43612</v>
      </c>
      <c r="D3877">
        <v>1</v>
      </c>
      <c r="E3877">
        <v>2170690455</v>
      </c>
      <c r="F3877" t="s">
        <v>16</v>
      </c>
      <c r="G3877" t="s">
        <v>17</v>
      </c>
      <c r="H3877" t="s">
        <v>43</v>
      </c>
      <c r="I3877" t="s">
        <v>75</v>
      </c>
      <c r="J3877" t="s">
        <v>1874</v>
      </c>
      <c r="K3877" s="9">
        <v>43613</v>
      </c>
      <c r="L3877" s="10">
        <v>0.49305555555555558</v>
      </c>
      <c r="M3877" t="s">
        <v>1875</v>
      </c>
      <c r="N3877" t="s">
        <v>4497</v>
      </c>
      <c r="O3877" t="s">
        <v>22</v>
      </c>
    </row>
    <row r="3878" spans="1:15" hidden="1">
      <c r="A3878" t="s">
        <v>15</v>
      </c>
      <c r="B3878" t="str">
        <f>"FES1162692088"</f>
        <v>FES1162692088</v>
      </c>
      <c r="C3878" s="9">
        <v>43612</v>
      </c>
      <c r="D3878">
        <v>1</v>
      </c>
      <c r="E3878">
        <v>2170690475</v>
      </c>
      <c r="F3878" t="s">
        <v>16</v>
      </c>
      <c r="G3878" t="s">
        <v>17</v>
      </c>
      <c r="H3878" t="s">
        <v>43</v>
      </c>
      <c r="I3878" t="s">
        <v>738</v>
      </c>
      <c r="J3878" t="s">
        <v>739</v>
      </c>
      <c r="K3878" s="9">
        <v>43613</v>
      </c>
      <c r="L3878" s="10">
        <v>0.3666666666666667</v>
      </c>
      <c r="M3878" t="s">
        <v>4356</v>
      </c>
      <c r="N3878" t="s">
        <v>4498</v>
      </c>
      <c r="O3878" t="s">
        <v>22</v>
      </c>
    </row>
    <row r="3879" spans="1:15" hidden="1">
      <c r="A3879" t="s">
        <v>15</v>
      </c>
      <c r="B3879" t="str">
        <f>"FES1162692068"</f>
        <v>FES1162692068</v>
      </c>
      <c r="C3879" s="9">
        <v>43612</v>
      </c>
      <c r="D3879">
        <v>1</v>
      </c>
      <c r="E3879">
        <v>2170689847</v>
      </c>
      <c r="F3879" t="s">
        <v>16</v>
      </c>
      <c r="G3879" t="s">
        <v>17</v>
      </c>
      <c r="H3879" t="s">
        <v>300</v>
      </c>
      <c r="I3879" t="s">
        <v>301</v>
      </c>
      <c r="J3879" t="s">
        <v>506</v>
      </c>
      <c r="K3879" s="9">
        <v>43613</v>
      </c>
      <c r="L3879" s="10">
        <v>0.41666666666666669</v>
      </c>
      <c r="M3879" t="s">
        <v>1722</v>
      </c>
      <c r="N3879" t="s">
        <v>4499</v>
      </c>
      <c r="O3879" t="s">
        <v>22</v>
      </c>
    </row>
    <row r="3880" spans="1:15">
      <c r="A3880" s="6" t="s">
        <v>15</v>
      </c>
      <c r="B3880" s="6" t="str">
        <f>"FES1162692065"</f>
        <v>FES1162692065</v>
      </c>
      <c r="C3880" s="7">
        <v>43612</v>
      </c>
      <c r="D3880" s="6">
        <v>1</v>
      </c>
      <c r="E3880" s="6">
        <v>2170686925</v>
      </c>
      <c r="F3880" s="6" t="s">
        <v>16</v>
      </c>
      <c r="G3880" s="6" t="s">
        <v>17</v>
      </c>
      <c r="H3880" s="6" t="s">
        <v>17</v>
      </c>
      <c r="I3880" s="6" t="s">
        <v>29</v>
      </c>
      <c r="J3880" s="6" t="s">
        <v>4500</v>
      </c>
      <c r="K3880" s="7">
        <v>43613</v>
      </c>
      <c r="L3880" s="8">
        <v>0.43402777777777773</v>
      </c>
      <c r="M3880" s="6" t="s">
        <v>4501</v>
      </c>
      <c r="N3880" s="14" t="s">
        <v>21</v>
      </c>
      <c r="O3880" s="6" t="s">
        <v>22</v>
      </c>
    </row>
    <row r="3881" spans="1:15">
      <c r="A3881" s="6" t="s">
        <v>15</v>
      </c>
      <c r="B3881" s="6" t="str">
        <f>"FES1162692095"</f>
        <v>FES1162692095</v>
      </c>
      <c r="C3881" s="7">
        <v>43612</v>
      </c>
      <c r="D3881" s="6">
        <v>1</v>
      </c>
      <c r="E3881" s="6">
        <v>2170690481</v>
      </c>
      <c r="F3881" s="6" t="s">
        <v>16</v>
      </c>
      <c r="G3881" s="6" t="s">
        <v>17</v>
      </c>
      <c r="H3881" s="6" t="s">
        <v>17</v>
      </c>
      <c r="I3881" s="6" t="s">
        <v>18</v>
      </c>
      <c r="J3881" s="6" t="s">
        <v>1033</v>
      </c>
      <c r="K3881" s="7">
        <v>43613</v>
      </c>
      <c r="L3881" s="8">
        <v>0.43055555555555558</v>
      </c>
      <c r="M3881" s="6" t="s">
        <v>481</v>
      </c>
      <c r="N3881" s="14" t="s">
        <v>21</v>
      </c>
      <c r="O3881" s="6" t="s">
        <v>22</v>
      </c>
    </row>
    <row r="3882" spans="1:15" hidden="1">
      <c r="A3882" t="s">
        <v>15</v>
      </c>
      <c r="B3882" t="str">
        <f>"FES1162692092"</f>
        <v>FES1162692092</v>
      </c>
      <c r="C3882" s="9">
        <v>43612</v>
      </c>
      <c r="D3882">
        <v>1</v>
      </c>
      <c r="E3882">
        <v>2170690478</v>
      </c>
      <c r="F3882" t="s">
        <v>16</v>
      </c>
      <c r="G3882" t="s">
        <v>17</v>
      </c>
      <c r="H3882" t="s">
        <v>132</v>
      </c>
      <c r="I3882" t="s">
        <v>137</v>
      </c>
      <c r="J3882" t="s">
        <v>138</v>
      </c>
      <c r="K3882" s="9">
        <v>43613</v>
      </c>
      <c r="L3882" s="10">
        <v>0.50694444444444442</v>
      </c>
      <c r="M3882" t="s">
        <v>1946</v>
      </c>
      <c r="N3882" t="s">
        <v>4502</v>
      </c>
      <c r="O3882" t="s">
        <v>22</v>
      </c>
    </row>
    <row r="3883" spans="1:15" hidden="1">
      <c r="A3883" t="s">
        <v>15</v>
      </c>
      <c r="B3883" t="str">
        <f>"FES1162692077"</f>
        <v>FES1162692077</v>
      </c>
      <c r="C3883" s="9">
        <v>43612</v>
      </c>
      <c r="D3883">
        <v>1</v>
      </c>
      <c r="E3883">
        <v>2170690467</v>
      </c>
      <c r="F3883" t="s">
        <v>16</v>
      </c>
      <c r="G3883" t="s">
        <v>17</v>
      </c>
      <c r="H3883" t="s">
        <v>132</v>
      </c>
      <c r="I3883" t="s">
        <v>133</v>
      </c>
      <c r="J3883" t="s">
        <v>639</v>
      </c>
      <c r="K3883" s="9">
        <v>43613</v>
      </c>
      <c r="L3883" s="10">
        <v>0.39583333333333331</v>
      </c>
      <c r="M3883" t="s">
        <v>1931</v>
      </c>
      <c r="N3883" t="s">
        <v>4503</v>
      </c>
      <c r="O3883" t="s">
        <v>22</v>
      </c>
    </row>
    <row r="3884" spans="1:15" hidden="1">
      <c r="A3884" t="s">
        <v>15</v>
      </c>
      <c r="B3884" t="str">
        <f>"FES1162692078"</f>
        <v>FES1162692078</v>
      </c>
      <c r="C3884" s="9">
        <v>43612</v>
      </c>
      <c r="D3884">
        <v>1</v>
      </c>
      <c r="E3884">
        <v>2170690468</v>
      </c>
      <c r="F3884" t="s">
        <v>16</v>
      </c>
      <c r="G3884" t="s">
        <v>17</v>
      </c>
      <c r="H3884" t="s">
        <v>141</v>
      </c>
      <c r="I3884" t="s">
        <v>142</v>
      </c>
      <c r="J3884" t="s">
        <v>864</v>
      </c>
      <c r="K3884" s="9">
        <v>43613</v>
      </c>
      <c r="L3884" s="10">
        <v>0.4375</v>
      </c>
      <c r="M3884" t="s">
        <v>1803</v>
      </c>
      <c r="N3884" t="s">
        <v>4504</v>
      </c>
      <c r="O3884" t="s">
        <v>22</v>
      </c>
    </row>
    <row r="3885" spans="1:15" hidden="1">
      <c r="A3885" t="s">
        <v>15</v>
      </c>
      <c r="B3885" t="str">
        <f>"FES1162692073"</f>
        <v>FES1162692073</v>
      </c>
      <c r="C3885" s="9">
        <v>43612</v>
      </c>
      <c r="D3885">
        <v>1</v>
      </c>
      <c r="E3885">
        <v>2170690458</v>
      </c>
      <c r="F3885" t="s">
        <v>16</v>
      </c>
      <c r="G3885" t="s">
        <v>17</v>
      </c>
      <c r="H3885" t="s">
        <v>141</v>
      </c>
      <c r="I3885" t="s">
        <v>448</v>
      </c>
      <c r="J3885" t="s">
        <v>449</v>
      </c>
      <c r="K3885" s="9">
        <v>43613</v>
      </c>
      <c r="L3885" s="10">
        <v>0.39166666666666666</v>
      </c>
      <c r="M3885" t="s">
        <v>4505</v>
      </c>
      <c r="N3885" t="s">
        <v>4506</v>
      </c>
      <c r="O3885" t="s">
        <v>22</v>
      </c>
    </row>
    <row r="3886" spans="1:15" hidden="1">
      <c r="A3886" t="s">
        <v>15</v>
      </c>
      <c r="B3886" t="str">
        <f>"FES1162692076"</f>
        <v>FES1162692076</v>
      </c>
      <c r="C3886" s="9">
        <v>43612</v>
      </c>
      <c r="D3886">
        <v>1</v>
      </c>
      <c r="E3886">
        <v>2170690466</v>
      </c>
      <c r="F3886" t="s">
        <v>16</v>
      </c>
      <c r="G3886" t="s">
        <v>17</v>
      </c>
      <c r="H3886" t="s">
        <v>141</v>
      </c>
      <c r="I3886" t="s">
        <v>185</v>
      </c>
      <c r="J3886" t="s">
        <v>1543</v>
      </c>
      <c r="K3886" s="9">
        <v>43613</v>
      </c>
      <c r="L3886" s="10">
        <v>0.38194444444444442</v>
      </c>
      <c r="M3886" t="s">
        <v>1544</v>
      </c>
      <c r="N3886" t="s">
        <v>4507</v>
      </c>
      <c r="O3886" t="s">
        <v>22</v>
      </c>
    </row>
    <row r="3887" spans="1:15">
      <c r="A3887" s="6" t="s">
        <v>15</v>
      </c>
      <c r="B3887" s="6" t="str">
        <f>"FES1162692079"</f>
        <v>FES1162692079</v>
      </c>
      <c r="C3887" s="7">
        <v>43612</v>
      </c>
      <c r="D3887" s="6">
        <v>1</v>
      </c>
      <c r="E3887" s="6">
        <v>217068834</v>
      </c>
      <c r="F3887" s="6" t="s">
        <v>16</v>
      </c>
      <c r="G3887" s="6" t="s">
        <v>17</v>
      </c>
      <c r="H3887" s="6" t="s">
        <v>17</v>
      </c>
      <c r="I3887" s="6" t="s">
        <v>64</v>
      </c>
      <c r="J3887" s="6" t="s">
        <v>513</v>
      </c>
      <c r="K3887" s="7">
        <v>43613</v>
      </c>
      <c r="L3887" s="8">
        <v>0.41666666666666669</v>
      </c>
      <c r="M3887" s="6" t="s">
        <v>2892</v>
      </c>
      <c r="N3887" s="14" t="s">
        <v>21</v>
      </c>
      <c r="O3887" s="6" t="s">
        <v>22</v>
      </c>
    </row>
    <row r="3888" spans="1:15" hidden="1">
      <c r="A3888" t="s">
        <v>15</v>
      </c>
      <c r="B3888" t="str">
        <f>"FES1162692086"</f>
        <v>FES1162692086</v>
      </c>
      <c r="C3888" s="9">
        <v>43612</v>
      </c>
      <c r="D3888">
        <v>1</v>
      </c>
      <c r="E3888">
        <v>2170690472</v>
      </c>
      <c r="F3888" t="s">
        <v>16</v>
      </c>
      <c r="G3888" t="s">
        <v>17</v>
      </c>
      <c r="H3888" t="s">
        <v>440</v>
      </c>
      <c r="I3888" t="s">
        <v>1546</v>
      </c>
      <c r="J3888" t="s">
        <v>1547</v>
      </c>
      <c r="K3888" s="9">
        <v>43613</v>
      </c>
      <c r="L3888" s="10">
        <v>0.375</v>
      </c>
      <c r="M3888" t="s">
        <v>2751</v>
      </c>
      <c r="N3888" t="s">
        <v>4508</v>
      </c>
      <c r="O3888" t="s">
        <v>22</v>
      </c>
    </row>
    <row r="3889" spans="1:15" hidden="1">
      <c r="A3889" t="s">
        <v>15</v>
      </c>
      <c r="B3889" t="str">
        <f>"FES1162692071"</f>
        <v>FES1162692071</v>
      </c>
      <c r="C3889" s="9">
        <v>43612</v>
      </c>
      <c r="D3889">
        <v>1</v>
      </c>
      <c r="E3889">
        <v>2170690461</v>
      </c>
      <c r="F3889" t="s">
        <v>16</v>
      </c>
      <c r="G3889" t="s">
        <v>17</v>
      </c>
      <c r="H3889" t="s">
        <v>132</v>
      </c>
      <c r="I3889" t="s">
        <v>133</v>
      </c>
      <c r="J3889" t="s">
        <v>238</v>
      </c>
      <c r="K3889" s="9">
        <v>43613</v>
      </c>
      <c r="L3889" s="10">
        <v>0.35416666666666669</v>
      </c>
      <c r="M3889" t="s">
        <v>4386</v>
      </c>
      <c r="N3889" t="s">
        <v>4509</v>
      </c>
      <c r="O3889" t="s">
        <v>22</v>
      </c>
    </row>
    <row r="3890" spans="1:15" hidden="1">
      <c r="A3890" t="s">
        <v>15</v>
      </c>
      <c r="B3890" t="str">
        <f>"FES1162691777"</f>
        <v>FES1162691777</v>
      </c>
      <c r="C3890" s="9">
        <v>43612</v>
      </c>
      <c r="D3890">
        <v>1</v>
      </c>
      <c r="E3890">
        <v>2170690058</v>
      </c>
      <c r="F3890" t="s">
        <v>16</v>
      </c>
      <c r="G3890" t="s">
        <v>17</v>
      </c>
      <c r="H3890" t="s">
        <v>43</v>
      </c>
      <c r="I3890" t="s">
        <v>44</v>
      </c>
      <c r="J3890" t="s">
        <v>48</v>
      </c>
      <c r="K3890" s="9">
        <v>43613</v>
      </c>
      <c r="L3890" s="10">
        <v>0.32500000000000001</v>
      </c>
      <c r="M3890" t="s">
        <v>1650</v>
      </c>
      <c r="N3890" t="s">
        <v>4510</v>
      </c>
      <c r="O3890" t="s">
        <v>22</v>
      </c>
    </row>
    <row r="3891" spans="1:15" hidden="1">
      <c r="A3891" t="s">
        <v>15</v>
      </c>
      <c r="B3891" t="str">
        <f>"FES1162692083"</f>
        <v>FES1162692083</v>
      </c>
      <c r="C3891" s="9">
        <v>43612</v>
      </c>
      <c r="D3891">
        <v>1</v>
      </c>
      <c r="E3891">
        <v>2170690015</v>
      </c>
      <c r="F3891" t="s">
        <v>16</v>
      </c>
      <c r="G3891" t="s">
        <v>17</v>
      </c>
      <c r="H3891" t="s">
        <v>290</v>
      </c>
      <c r="I3891" t="s">
        <v>291</v>
      </c>
      <c r="J3891" t="s">
        <v>4165</v>
      </c>
      <c r="K3891" s="9">
        <v>43613</v>
      </c>
      <c r="L3891" s="10">
        <v>0.38055555555555554</v>
      </c>
      <c r="M3891" t="s">
        <v>1796</v>
      </c>
      <c r="N3891" t="s">
        <v>4511</v>
      </c>
      <c r="O3891" t="s">
        <v>22</v>
      </c>
    </row>
    <row r="3892" spans="1:15" hidden="1">
      <c r="A3892" t="s">
        <v>15</v>
      </c>
      <c r="B3892" t="str">
        <f>"009935723242"</f>
        <v>009935723242</v>
      </c>
      <c r="C3892" s="9">
        <v>43612</v>
      </c>
      <c r="D3892">
        <v>1</v>
      </c>
      <c r="E3892">
        <v>1162689558</v>
      </c>
      <c r="F3892" t="s">
        <v>16</v>
      </c>
      <c r="G3892" t="s">
        <v>17</v>
      </c>
      <c r="H3892" t="s">
        <v>59</v>
      </c>
      <c r="I3892" t="s">
        <v>64</v>
      </c>
      <c r="J3892" t="s">
        <v>288</v>
      </c>
      <c r="K3892" s="9">
        <v>43613</v>
      </c>
      <c r="L3892" s="10">
        <v>0.3125</v>
      </c>
      <c r="M3892" t="s">
        <v>4512</v>
      </c>
      <c r="N3892" t="s">
        <v>4513</v>
      </c>
      <c r="O3892" t="s">
        <v>2125</v>
      </c>
    </row>
    <row r="3893" spans="1:15" hidden="1">
      <c r="A3893" t="s">
        <v>15</v>
      </c>
      <c r="B3893" t="str">
        <f>"FES1162692101"</f>
        <v>FES1162692101</v>
      </c>
      <c r="C3893" s="9">
        <v>43612</v>
      </c>
      <c r="D3893">
        <v>1</v>
      </c>
      <c r="E3893">
        <v>2170690492</v>
      </c>
      <c r="F3893" t="s">
        <v>16</v>
      </c>
      <c r="G3893" t="s">
        <v>17</v>
      </c>
      <c r="H3893" t="s">
        <v>141</v>
      </c>
      <c r="I3893" t="s">
        <v>142</v>
      </c>
      <c r="J3893" t="s">
        <v>2157</v>
      </c>
      <c r="K3893" s="9">
        <v>43613</v>
      </c>
      <c r="L3893" s="10">
        <v>0.42430555555555555</v>
      </c>
      <c r="M3893" t="s">
        <v>4376</v>
      </c>
      <c r="N3893" t="s">
        <v>4514</v>
      </c>
      <c r="O3893" t="s">
        <v>22</v>
      </c>
    </row>
    <row r="3894" spans="1:15" hidden="1">
      <c r="A3894" t="s">
        <v>15</v>
      </c>
      <c r="B3894" t="str">
        <f>"FES1162692072"</f>
        <v>FES1162692072</v>
      </c>
      <c r="C3894" s="9">
        <v>43612</v>
      </c>
      <c r="D3894">
        <v>2</v>
      </c>
      <c r="E3894">
        <v>2170689637</v>
      </c>
      <c r="F3894" t="s">
        <v>58</v>
      </c>
      <c r="G3894" t="s">
        <v>59</v>
      </c>
      <c r="H3894" t="s">
        <v>59</v>
      </c>
      <c r="I3894" t="s">
        <v>103</v>
      </c>
      <c r="J3894" t="s">
        <v>1493</v>
      </c>
      <c r="K3894" s="9">
        <v>43613</v>
      </c>
      <c r="L3894" s="10">
        <v>0.32361111111111113</v>
      </c>
      <c r="M3894" t="s">
        <v>3182</v>
      </c>
      <c r="N3894" t="s">
        <v>4515</v>
      </c>
      <c r="O3894" t="s">
        <v>22</v>
      </c>
    </row>
    <row r="3895" spans="1:15">
      <c r="A3895" s="6" t="s">
        <v>15</v>
      </c>
      <c r="B3895" s="6" t="str">
        <f>"009938881145"</f>
        <v>009938881145</v>
      </c>
      <c r="C3895" s="7">
        <v>43612</v>
      </c>
      <c r="D3895" s="6">
        <v>1</v>
      </c>
      <c r="E3895" s="6" t="s">
        <v>1060</v>
      </c>
      <c r="F3895" s="6" t="s">
        <v>16</v>
      </c>
      <c r="G3895" s="6" t="s">
        <v>43</v>
      </c>
      <c r="H3895" s="6" t="s">
        <v>17</v>
      </c>
      <c r="I3895" s="6" t="s">
        <v>64</v>
      </c>
      <c r="J3895" s="6" t="s">
        <v>1061</v>
      </c>
      <c r="K3895" s="7">
        <v>43613</v>
      </c>
      <c r="L3895" s="8">
        <v>0.39930555555555558</v>
      </c>
      <c r="M3895" s="6" t="s">
        <v>2037</v>
      </c>
      <c r="N3895" s="14" t="s">
        <v>21</v>
      </c>
      <c r="O3895" s="6" t="s">
        <v>22</v>
      </c>
    </row>
    <row r="3896" spans="1:15" hidden="1">
      <c r="A3896" t="s">
        <v>15</v>
      </c>
      <c r="B3896" t="str">
        <f>"009938881197"</f>
        <v>009938881197</v>
      </c>
      <c r="C3896" s="9">
        <v>43612</v>
      </c>
      <c r="D3896">
        <v>1</v>
      </c>
      <c r="E3896" t="s">
        <v>1064</v>
      </c>
      <c r="F3896" t="s">
        <v>58</v>
      </c>
      <c r="G3896" t="s">
        <v>43</v>
      </c>
      <c r="H3896" t="s">
        <v>59</v>
      </c>
      <c r="I3896" t="s">
        <v>64</v>
      </c>
      <c r="J3896" t="s">
        <v>1061</v>
      </c>
      <c r="K3896" s="9">
        <v>43614</v>
      </c>
      <c r="L3896" s="10">
        <v>0.3659722222222222</v>
      </c>
      <c r="M3896" t="s">
        <v>477</v>
      </c>
      <c r="N3896" t="s">
        <v>4516</v>
      </c>
      <c r="O3896" t="s">
        <v>22</v>
      </c>
    </row>
    <row r="3897" spans="1:15" hidden="1">
      <c r="A3897" t="s">
        <v>15</v>
      </c>
      <c r="B3897" t="str">
        <f>"FES1162692096"</f>
        <v>FES1162692096</v>
      </c>
      <c r="C3897" s="9">
        <v>43612</v>
      </c>
      <c r="D3897">
        <v>1</v>
      </c>
      <c r="E3897">
        <v>2170690486</v>
      </c>
      <c r="F3897" t="s">
        <v>16</v>
      </c>
      <c r="G3897" t="s">
        <v>17</v>
      </c>
      <c r="H3897" t="s">
        <v>32</v>
      </c>
      <c r="I3897" t="s">
        <v>1207</v>
      </c>
      <c r="J3897" t="s">
        <v>1208</v>
      </c>
      <c r="K3897" s="9">
        <v>43613</v>
      </c>
      <c r="L3897" t="s">
        <v>4462</v>
      </c>
      <c r="M3897" t="s">
        <v>4496</v>
      </c>
      <c r="N3897" t="s">
        <v>4464</v>
      </c>
      <c r="O3897" t="s">
        <v>22</v>
      </c>
    </row>
    <row r="3898" spans="1:15" hidden="1">
      <c r="A3898" t="s">
        <v>15</v>
      </c>
      <c r="B3898" t="str">
        <f>"FES1162692103"</f>
        <v>FES1162692103</v>
      </c>
      <c r="C3898" s="9">
        <v>43612</v>
      </c>
      <c r="D3898">
        <v>1</v>
      </c>
      <c r="E3898">
        <v>2170690494</v>
      </c>
      <c r="F3898" t="s">
        <v>16</v>
      </c>
      <c r="G3898" t="s">
        <v>17</v>
      </c>
      <c r="H3898" t="s">
        <v>141</v>
      </c>
      <c r="I3898" t="s">
        <v>142</v>
      </c>
      <c r="J3898" t="s">
        <v>864</v>
      </c>
      <c r="K3898" s="9">
        <v>43613</v>
      </c>
      <c r="L3898" s="10">
        <v>0.4375</v>
      </c>
      <c r="M3898" t="s">
        <v>1803</v>
      </c>
      <c r="N3898" t="s">
        <v>4517</v>
      </c>
      <c r="O3898" t="s">
        <v>22</v>
      </c>
    </row>
    <row r="3899" spans="1:15" hidden="1">
      <c r="A3899" t="s">
        <v>15</v>
      </c>
      <c r="B3899" t="str">
        <f>"FES1162692097"</f>
        <v>FES1162692097</v>
      </c>
      <c r="C3899" s="9">
        <v>43612</v>
      </c>
      <c r="D3899">
        <v>1</v>
      </c>
      <c r="E3899">
        <v>2170690487</v>
      </c>
      <c r="F3899" t="s">
        <v>16</v>
      </c>
      <c r="G3899" t="s">
        <v>17</v>
      </c>
      <c r="H3899" t="s">
        <v>32</v>
      </c>
      <c r="I3899" t="s">
        <v>269</v>
      </c>
      <c r="J3899" t="s">
        <v>683</v>
      </c>
      <c r="K3899" s="9">
        <v>43613</v>
      </c>
      <c r="L3899" s="10">
        <v>0.36805555555555558</v>
      </c>
      <c r="M3899" t="s">
        <v>931</v>
      </c>
      <c r="N3899" t="s">
        <v>4518</v>
      </c>
      <c r="O3899" t="s">
        <v>22</v>
      </c>
    </row>
    <row r="3900" spans="1:15" hidden="1">
      <c r="A3900" t="s">
        <v>15</v>
      </c>
      <c r="B3900" t="str">
        <f>"FES1162692102"</f>
        <v>FES1162692102</v>
      </c>
      <c r="C3900" s="9">
        <v>43612</v>
      </c>
      <c r="D3900">
        <v>1</v>
      </c>
      <c r="E3900">
        <v>2170690493</v>
      </c>
      <c r="F3900" t="s">
        <v>16</v>
      </c>
      <c r="G3900" t="s">
        <v>17</v>
      </c>
      <c r="H3900" t="s">
        <v>290</v>
      </c>
      <c r="I3900" t="s">
        <v>291</v>
      </c>
      <c r="J3900" t="s">
        <v>1744</v>
      </c>
      <c r="K3900" s="9">
        <v>43613</v>
      </c>
      <c r="L3900" s="10">
        <v>0.41180555555555554</v>
      </c>
      <c r="M3900" t="s">
        <v>4421</v>
      </c>
      <c r="N3900" t="s">
        <v>4519</v>
      </c>
      <c r="O3900" t="s">
        <v>22</v>
      </c>
    </row>
    <row r="3901" spans="1:15">
      <c r="A3901" s="6" t="s">
        <v>15</v>
      </c>
      <c r="B3901" s="6" t="str">
        <f>"FES1162692099"</f>
        <v>FES1162692099</v>
      </c>
      <c r="C3901" s="7">
        <v>43612</v>
      </c>
      <c r="D3901" s="6">
        <v>1</v>
      </c>
      <c r="E3901" s="6">
        <v>2170690485</v>
      </c>
      <c r="F3901" s="6" t="s">
        <v>16</v>
      </c>
      <c r="G3901" s="6" t="s">
        <v>17</v>
      </c>
      <c r="H3901" s="6" t="s">
        <v>17</v>
      </c>
      <c r="I3901" s="6" t="s">
        <v>64</v>
      </c>
      <c r="J3901" s="6" t="s">
        <v>3838</v>
      </c>
      <c r="K3901" s="7">
        <v>43613</v>
      </c>
      <c r="L3901" s="8">
        <v>0.33333333333333331</v>
      </c>
      <c r="M3901" s="6" t="s">
        <v>4520</v>
      </c>
      <c r="N3901" s="14" t="s">
        <v>21</v>
      </c>
      <c r="O3901" s="6" t="s">
        <v>22</v>
      </c>
    </row>
    <row r="3902" spans="1:15">
      <c r="A3902" s="6" t="s">
        <v>15</v>
      </c>
      <c r="B3902" s="6" t="str">
        <f>"FES1162692100"</f>
        <v>FES1162692100</v>
      </c>
      <c r="C3902" s="7">
        <v>43612</v>
      </c>
      <c r="D3902" s="6">
        <v>1</v>
      </c>
      <c r="E3902" s="6">
        <v>2170690490</v>
      </c>
      <c r="F3902" s="6" t="s">
        <v>16</v>
      </c>
      <c r="G3902" s="6" t="s">
        <v>17</v>
      </c>
      <c r="H3902" s="6" t="s">
        <v>17</v>
      </c>
      <c r="I3902" s="6" t="s">
        <v>64</v>
      </c>
      <c r="J3902" s="6" t="s">
        <v>98</v>
      </c>
      <c r="K3902" s="7">
        <v>43613</v>
      </c>
      <c r="L3902" s="8">
        <v>0.33611111111111108</v>
      </c>
      <c r="M3902" s="6" t="s">
        <v>694</v>
      </c>
      <c r="N3902" s="14" t="s">
        <v>21</v>
      </c>
      <c r="O3902" s="6" t="s">
        <v>22</v>
      </c>
    </row>
    <row r="3903" spans="1:15" hidden="1">
      <c r="A3903" t="s">
        <v>15</v>
      </c>
      <c r="B3903" t="str">
        <f>"FES1162692105"</f>
        <v>FES1162692105</v>
      </c>
      <c r="C3903" s="9">
        <v>43612</v>
      </c>
      <c r="D3903">
        <v>1</v>
      </c>
      <c r="E3903">
        <v>2170684917</v>
      </c>
      <c r="F3903" t="s">
        <v>16</v>
      </c>
      <c r="G3903" t="s">
        <v>17</v>
      </c>
      <c r="H3903" t="s">
        <v>32</v>
      </c>
      <c r="I3903" t="s">
        <v>33</v>
      </c>
      <c r="J3903" t="s">
        <v>1243</v>
      </c>
      <c r="K3903" s="9">
        <v>43613</v>
      </c>
      <c r="L3903" s="10">
        <v>0.43055555555555558</v>
      </c>
      <c r="M3903" t="s">
        <v>1244</v>
      </c>
      <c r="N3903" t="s">
        <v>4521</v>
      </c>
      <c r="O3903" t="s">
        <v>22</v>
      </c>
    </row>
    <row r="3904" spans="1:15">
      <c r="A3904" s="6" t="s">
        <v>15</v>
      </c>
      <c r="B3904" s="6" t="str">
        <f>"FES1162692080"</f>
        <v>FES1162692080</v>
      </c>
      <c r="C3904" s="7">
        <v>43612</v>
      </c>
      <c r="D3904" s="6">
        <v>1</v>
      </c>
      <c r="E3904" s="6">
        <v>2170690023</v>
      </c>
      <c r="F3904" s="6" t="s">
        <v>16</v>
      </c>
      <c r="G3904" s="6" t="s">
        <v>17</v>
      </c>
      <c r="H3904" s="6" t="s">
        <v>17</v>
      </c>
      <c r="I3904" s="6" t="s">
        <v>29</v>
      </c>
      <c r="J3904" s="6" t="s">
        <v>4500</v>
      </c>
      <c r="K3904" s="7">
        <v>43613</v>
      </c>
      <c r="L3904" s="8">
        <v>0.67847222222222225</v>
      </c>
      <c r="M3904" s="6" t="s">
        <v>4501</v>
      </c>
      <c r="N3904" s="14" t="s">
        <v>21</v>
      </c>
      <c r="O3904" s="6" t="s">
        <v>22</v>
      </c>
    </row>
    <row r="3905" spans="1:15" ht="15.75" thickBot="1">
      <c r="A3905" s="11" t="s">
        <v>15</v>
      </c>
      <c r="B3905" s="11" t="str">
        <f>"039902827414"</f>
        <v>039902827414</v>
      </c>
      <c r="C3905" s="12">
        <v>43612</v>
      </c>
      <c r="D3905" s="11">
        <v>1</v>
      </c>
      <c r="E3905" s="11" t="s">
        <v>1060</v>
      </c>
      <c r="F3905" s="11" t="s">
        <v>16</v>
      </c>
      <c r="G3905" s="11" t="s">
        <v>32</v>
      </c>
      <c r="H3905" s="11" t="s">
        <v>17</v>
      </c>
      <c r="I3905" s="11" t="s">
        <v>64</v>
      </c>
      <c r="J3905" s="11" t="s">
        <v>1061</v>
      </c>
      <c r="K3905" s="12">
        <v>43613</v>
      </c>
      <c r="L3905" s="13">
        <v>0.67847222222222225</v>
      </c>
      <c r="M3905" s="11" t="s">
        <v>4522</v>
      </c>
      <c r="N3905" s="11" t="s">
        <v>21</v>
      </c>
      <c r="O3905" s="11" t="s">
        <v>22</v>
      </c>
    </row>
    <row r="3906" spans="1:15">
      <c r="A3906" s="3" t="s">
        <v>15</v>
      </c>
      <c r="B3906" s="3" t="str">
        <f>"RFES1162691241"</f>
        <v>RFES1162691241</v>
      </c>
      <c r="C3906" s="4">
        <v>43613</v>
      </c>
      <c r="D3906" s="3">
        <v>1</v>
      </c>
      <c r="E3906" s="3">
        <v>2170689610</v>
      </c>
      <c r="F3906" s="3" t="s">
        <v>16</v>
      </c>
      <c r="G3906" s="3" t="s">
        <v>17</v>
      </c>
      <c r="H3906" s="3" t="s">
        <v>17</v>
      </c>
      <c r="I3906" s="3" t="s">
        <v>64</v>
      </c>
      <c r="J3906" s="3" t="s">
        <v>476</v>
      </c>
      <c r="K3906" s="4">
        <v>43614</v>
      </c>
      <c r="L3906" s="5">
        <v>0.36458333333333331</v>
      </c>
      <c r="M3906" s="3" t="s">
        <v>477</v>
      </c>
      <c r="N3906" s="3" t="s">
        <v>21</v>
      </c>
      <c r="O3906" s="3" t="s">
        <v>22</v>
      </c>
    </row>
    <row r="3907" spans="1:15" hidden="1">
      <c r="A3907" t="s">
        <v>15</v>
      </c>
      <c r="B3907" t="str">
        <f>"019911376609"</f>
        <v>019911376609</v>
      </c>
      <c r="C3907" s="9">
        <v>43613</v>
      </c>
      <c r="D3907">
        <v>1</v>
      </c>
      <c r="E3907" t="s">
        <v>4523</v>
      </c>
      <c r="F3907" t="s">
        <v>1173</v>
      </c>
      <c r="G3907" t="s">
        <v>43</v>
      </c>
      <c r="H3907" t="s">
        <v>32</v>
      </c>
      <c r="I3907" t="s">
        <v>342</v>
      </c>
      <c r="J3907" t="s">
        <v>4524</v>
      </c>
      <c r="K3907" s="9">
        <v>43614</v>
      </c>
      <c r="L3907" s="10">
        <v>0.34583333333333338</v>
      </c>
      <c r="M3907" t="s">
        <v>4525</v>
      </c>
      <c r="N3907" t="s">
        <v>4526</v>
      </c>
      <c r="O3907" t="s">
        <v>4527</v>
      </c>
    </row>
    <row r="3908" spans="1:15" hidden="1">
      <c r="A3908" t="s">
        <v>15</v>
      </c>
      <c r="B3908" t="str">
        <f>"FES1162692014"</f>
        <v>FES1162692014</v>
      </c>
      <c r="C3908" s="9">
        <v>43613</v>
      </c>
      <c r="D3908">
        <v>1</v>
      </c>
      <c r="E3908">
        <v>2170690380</v>
      </c>
      <c r="F3908" t="s">
        <v>16</v>
      </c>
      <c r="G3908" t="s">
        <v>17</v>
      </c>
      <c r="H3908" t="s">
        <v>141</v>
      </c>
      <c r="I3908" t="s">
        <v>142</v>
      </c>
      <c r="J3908" t="s">
        <v>4291</v>
      </c>
      <c r="K3908" s="9">
        <v>43613</v>
      </c>
      <c r="L3908" s="10">
        <v>0.41666666666666669</v>
      </c>
      <c r="M3908" t="s">
        <v>4528</v>
      </c>
      <c r="N3908" t="s">
        <v>4529</v>
      </c>
      <c r="O3908" t="s">
        <v>22</v>
      </c>
    </row>
    <row r="3909" spans="1:15" hidden="1">
      <c r="A3909" t="s">
        <v>15</v>
      </c>
      <c r="B3909" t="str">
        <f>"FES1162692107"</f>
        <v>FES1162692107</v>
      </c>
      <c r="C3909" s="9">
        <v>43613</v>
      </c>
      <c r="D3909">
        <v>1</v>
      </c>
      <c r="E3909">
        <v>2170690501</v>
      </c>
      <c r="F3909" t="s">
        <v>16</v>
      </c>
      <c r="G3909" t="s">
        <v>17</v>
      </c>
      <c r="H3909" t="s">
        <v>141</v>
      </c>
      <c r="I3909" t="s">
        <v>142</v>
      </c>
      <c r="J3909" t="s">
        <v>2157</v>
      </c>
      <c r="K3909" s="9">
        <v>43613</v>
      </c>
      <c r="L3909" s="10">
        <v>0.42430555555555555</v>
      </c>
      <c r="M3909" t="s">
        <v>4376</v>
      </c>
      <c r="N3909" t="s">
        <v>4530</v>
      </c>
      <c r="O3909" t="s">
        <v>22</v>
      </c>
    </row>
    <row r="3910" spans="1:15">
      <c r="A3910" s="6" t="s">
        <v>15</v>
      </c>
      <c r="B3910" s="6" t="str">
        <f>"RFES1162691259"</f>
        <v>RFES1162691259</v>
      </c>
      <c r="C3910" s="7">
        <v>43613</v>
      </c>
      <c r="D3910" s="6">
        <v>1</v>
      </c>
      <c r="E3910" s="6">
        <v>2170689642</v>
      </c>
      <c r="F3910" s="6" t="s">
        <v>16</v>
      </c>
      <c r="G3910" s="6" t="s">
        <v>17</v>
      </c>
      <c r="H3910" s="6" t="s">
        <v>17</v>
      </c>
      <c r="I3910" s="6" t="s">
        <v>64</v>
      </c>
      <c r="J3910" s="6" t="s">
        <v>476</v>
      </c>
      <c r="K3910" s="7">
        <v>43614</v>
      </c>
      <c r="L3910" s="8">
        <v>0.36458333333333331</v>
      </c>
      <c r="M3910" s="6" t="s">
        <v>477</v>
      </c>
      <c r="N3910" s="6" t="s">
        <v>21</v>
      </c>
      <c r="O3910" s="6" t="s">
        <v>22</v>
      </c>
    </row>
    <row r="3911" spans="1:15" hidden="1">
      <c r="A3911" t="s">
        <v>15</v>
      </c>
      <c r="B3911" t="str">
        <f>"009938878289"</f>
        <v>009938878289</v>
      </c>
      <c r="C3911" s="9">
        <v>43613</v>
      </c>
      <c r="D3911">
        <v>1</v>
      </c>
      <c r="E3911" t="s">
        <v>22</v>
      </c>
      <c r="F3911" t="s">
        <v>16</v>
      </c>
      <c r="G3911" t="s">
        <v>37</v>
      </c>
      <c r="H3911" t="s">
        <v>43</v>
      </c>
      <c r="I3911" t="s">
        <v>44</v>
      </c>
      <c r="J3911" t="s">
        <v>51</v>
      </c>
      <c r="K3911" s="9">
        <v>43614</v>
      </c>
      <c r="L3911" s="10">
        <v>0.3527777777777778</v>
      </c>
      <c r="M3911" t="s">
        <v>4531</v>
      </c>
      <c r="N3911" t="s">
        <v>4532</v>
      </c>
      <c r="O3911" t="s">
        <v>22</v>
      </c>
    </row>
    <row r="3912" spans="1:15">
      <c r="A3912" s="6" t="s">
        <v>15</v>
      </c>
      <c r="B3912" s="6" t="str">
        <f>"039902821552"</f>
        <v>039902821552</v>
      </c>
      <c r="C3912" s="7">
        <v>43613</v>
      </c>
      <c r="D3912" s="6">
        <v>4</v>
      </c>
      <c r="E3912" s="6" t="s">
        <v>1060</v>
      </c>
      <c r="F3912" s="6" t="s">
        <v>58</v>
      </c>
      <c r="G3912" s="6" t="s">
        <v>32</v>
      </c>
      <c r="H3912" s="6" t="s">
        <v>17</v>
      </c>
      <c r="I3912" s="6" t="s">
        <v>64</v>
      </c>
      <c r="J3912" s="6" t="s">
        <v>1061</v>
      </c>
      <c r="K3912" s="7">
        <v>43614</v>
      </c>
      <c r="L3912" s="8">
        <v>0.3527777777777778</v>
      </c>
      <c r="M3912" s="6" t="s">
        <v>4522</v>
      </c>
      <c r="N3912" s="6" t="s">
        <v>21</v>
      </c>
      <c r="O3912" s="6" t="s">
        <v>22</v>
      </c>
    </row>
    <row r="3913" spans="1:15">
      <c r="A3913" s="6" t="s">
        <v>15</v>
      </c>
      <c r="B3913" s="6" t="str">
        <f>"FES1162692155"</f>
        <v>FES1162692155</v>
      </c>
      <c r="C3913" s="7">
        <v>43613</v>
      </c>
      <c r="D3913" s="6">
        <v>1</v>
      </c>
      <c r="E3913" s="6">
        <v>2170690462</v>
      </c>
      <c r="F3913" s="6" t="s">
        <v>16</v>
      </c>
      <c r="G3913" s="6" t="s">
        <v>17</v>
      </c>
      <c r="H3913" s="6" t="s">
        <v>17</v>
      </c>
      <c r="I3913" s="6" t="s">
        <v>103</v>
      </c>
      <c r="J3913" s="6" t="s">
        <v>4321</v>
      </c>
      <c r="K3913" s="7">
        <v>43614</v>
      </c>
      <c r="L3913" s="8">
        <v>0.43055555555555558</v>
      </c>
      <c r="M3913" s="6" t="s">
        <v>4533</v>
      </c>
      <c r="N3913" s="14" t="s">
        <v>21</v>
      </c>
      <c r="O3913" s="6" t="s">
        <v>22</v>
      </c>
    </row>
    <row r="3914" spans="1:15">
      <c r="A3914" s="6" t="s">
        <v>15</v>
      </c>
      <c r="B3914" s="6" t="str">
        <f>"FES1162692194"</f>
        <v>FES1162692194</v>
      </c>
      <c r="C3914" s="7">
        <v>43613</v>
      </c>
      <c r="D3914" s="6">
        <v>1</v>
      </c>
      <c r="E3914" s="6">
        <v>2170690538</v>
      </c>
      <c r="F3914" s="6" t="s">
        <v>16</v>
      </c>
      <c r="G3914" s="6" t="s">
        <v>17</v>
      </c>
      <c r="H3914" s="6" t="s">
        <v>17</v>
      </c>
      <c r="I3914" s="6" t="s">
        <v>18</v>
      </c>
      <c r="J3914" s="6" t="s">
        <v>19</v>
      </c>
      <c r="K3914" s="7">
        <v>43614</v>
      </c>
      <c r="L3914" s="8">
        <v>0.3520833333333333</v>
      </c>
      <c r="M3914" s="6" t="s">
        <v>2039</v>
      </c>
      <c r="N3914" s="14" t="s">
        <v>21</v>
      </c>
      <c r="O3914" s="6" t="s">
        <v>22</v>
      </c>
    </row>
    <row r="3915" spans="1:15">
      <c r="A3915" s="6" t="s">
        <v>15</v>
      </c>
      <c r="B3915" s="6" t="str">
        <f>"FES1162692158"</f>
        <v>FES1162692158</v>
      </c>
      <c r="C3915" s="7">
        <v>43613</v>
      </c>
      <c r="D3915" s="6">
        <v>1</v>
      </c>
      <c r="E3915" s="6">
        <v>2170690500</v>
      </c>
      <c r="F3915" s="6" t="s">
        <v>16</v>
      </c>
      <c r="G3915" s="6" t="s">
        <v>17</v>
      </c>
      <c r="H3915" s="6" t="s">
        <v>17</v>
      </c>
      <c r="I3915" s="6" t="s">
        <v>29</v>
      </c>
      <c r="J3915" s="6" t="s">
        <v>1080</v>
      </c>
      <c r="K3915" s="7">
        <v>43614</v>
      </c>
      <c r="L3915" s="8">
        <v>0.43402777777777773</v>
      </c>
      <c r="M3915" s="6" t="s">
        <v>1748</v>
      </c>
      <c r="N3915" s="14" t="s">
        <v>21</v>
      </c>
      <c r="O3915" s="6" t="s">
        <v>22</v>
      </c>
    </row>
    <row r="3916" spans="1:15">
      <c r="A3916" s="6" t="s">
        <v>15</v>
      </c>
      <c r="B3916" s="6" t="str">
        <f>"FES1162692174"</f>
        <v>FES1162692174</v>
      </c>
      <c r="C3916" s="7">
        <v>43613</v>
      </c>
      <c r="D3916" s="6">
        <v>1</v>
      </c>
      <c r="E3916" s="6">
        <v>2170690519</v>
      </c>
      <c r="F3916" s="6" t="s">
        <v>16</v>
      </c>
      <c r="G3916" s="6" t="s">
        <v>17</v>
      </c>
      <c r="H3916" s="6" t="s">
        <v>17</v>
      </c>
      <c r="I3916" s="6" t="s">
        <v>64</v>
      </c>
      <c r="J3916" s="6" t="s">
        <v>509</v>
      </c>
      <c r="K3916" s="7">
        <v>43614</v>
      </c>
      <c r="L3916" s="8">
        <v>0.32361111111111113</v>
      </c>
      <c r="M3916" s="6" t="s">
        <v>4534</v>
      </c>
      <c r="N3916" s="14" t="s">
        <v>21</v>
      </c>
      <c r="O3916" s="6" t="s">
        <v>22</v>
      </c>
    </row>
    <row r="3917" spans="1:15">
      <c r="A3917" s="6" t="s">
        <v>15</v>
      </c>
      <c r="B3917" s="6" t="str">
        <f>"FES1162692136"</f>
        <v>FES1162692136</v>
      </c>
      <c r="C3917" s="7">
        <v>43613</v>
      </c>
      <c r="D3917" s="6">
        <v>1</v>
      </c>
      <c r="E3917" s="6">
        <v>217069457</v>
      </c>
      <c r="F3917" s="6" t="s">
        <v>16</v>
      </c>
      <c r="G3917" s="6" t="s">
        <v>17</v>
      </c>
      <c r="H3917" s="6" t="s">
        <v>17</v>
      </c>
      <c r="I3917" s="6" t="s">
        <v>64</v>
      </c>
      <c r="J3917" s="6" t="s">
        <v>116</v>
      </c>
      <c r="K3917" s="7">
        <v>43614</v>
      </c>
      <c r="L3917" s="8">
        <v>0.32500000000000001</v>
      </c>
      <c r="M3917" s="6" t="s">
        <v>4535</v>
      </c>
      <c r="N3917" s="14" t="s">
        <v>21</v>
      </c>
      <c r="O3917" s="6" t="s">
        <v>22</v>
      </c>
    </row>
    <row r="3918" spans="1:15" hidden="1">
      <c r="A3918" s="6" t="s">
        <v>15</v>
      </c>
      <c r="B3918" s="6" t="str">
        <f>"FES1162692169"</f>
        <v>FES1162692169</v>
      </c>
      <c r="C3918" s="7">
        <v>43613</v>
      </c>
      <c r="D3918" s="6">
        <v>1</v>
      </c>
      <c r="E3918" s="6">
        <v>2170690515</v>
      </c>
      <c r="F3918" s="6" t="s">
        <v>16</v>
      </c>
      <c r="G3918" s="6" t="s">
        <v>17</v>
      </c>
      <c r="H3918" s="6" t="s">
        <v>59</v>
      </c>
      <c r="I3918" s="6" t="s">
        <v>23</v>
      </c>
      <c r="J3918" s="6" t="s">
        <v>158</v>
      </c>
      <c r="K3918" s="7">
        <v>43614</v>
      </c>
      <c r="L3918" s="8">
        <v>0.40208333333333335</v>
      </c>
      <c r="M3918" s="6" t="s">
        <v>3631</v>
      </c>
      <c r="N3918" s="14" t="s">
        <v>21</v>
      </c>
      <c r="O3918" s="6" t="s">
        <v>22</v>
      </c>
    </row>
    <row r="3919" spans="1:15">
      <c r="A3919" s="6" t="s">
        <v>15</v>
      </c>
      <c r="B3919" s="6" t="str">
        <f>"FES1162692137"</f>
        <v>FES1162692137</v>
      </c>
      <c r="C3919" s="7">
        <v>43613</v>
      </c>
      <c r="D3919" s="6">
        <v>1</v>
      </c>
      <c r="E3919" s="6">
        <v>217069516</v>
      </c>
      <c r="F3919" s="6" t="s">
        <v>16</v>
      </c>
      <c r="G3919" s="6" t="s">
        <v>17</v>
      </c>
      <c r="H3919" s="6" t="s">
        <v>17</v>
      </c>
      <c r="I3919" s="6" t="s">
        <v>64</v>
      </c>
      <c r="J3919" s="6" t="s">
        <v>4536</v>
      </c>
      <c r="K3919" s="7">
        <v>43614</v>
      </c>
      <c r="L3919" s="8">
        <v>0.34513888888888888</v>
      </c>
      <c r="M3919" s="6" t="s">
        <v>4537</v>
      </c>
      <c r="N3919" s="14" t="s">
        <v>21</v>
      </c>
      <c r="O3919" s="6" t="s">
        <v>22</v>
      </c>
    </row>
    <row r="3920" spans="1:15">
      <c r="A3920" s="6" t="s">
        <v>15</v>
      </c>
      <c r="B3920" s="6" t="str">
        <f>"FES1162692130"</f>
        <v>FES1162692130</v>
      </c>
      <c r="C3920" s="7">
        <v>43613</v>
      </c>
      <c r="D3920" s="6">
        <v>1</v>
      </c>
      <c r="E3920" s="6">
        <v>217069221</v>
      </c>
      <c r="F3920" s="6" t="s">
        <v>16</v>
      </c>
      <c r="G3920" s="6" t="s">
        <v>17</v>
      </c>
      <c r="H3920" s="6" t="s">
        <v>17</v>
      </c>
      <c r="I3920" s="6" t="s">
        <v>103</v>
      </c>
      <c r="J3920" s="6" t="s">
        <v>104</v>
      </c>
      <c r="K3920" s="7">
        <v>43614</v>
      </c>
      <c r="L3920" s="8">
        <v>0.43055555555555558</v>
      </c>
      <c r="M3920" s="6" t="s">
        <v>56</v>
      </c>
      <c r="N3920" s="14" t="s">
        <v>21</v>
      </c>
      <c r="O3920" s="6" t="s">
        <v>22</v>
      </c>
    </row>
    <row r="3921" spans="1:15">
      <c r="A3921" s="6" t="s">
        <v>15</v>
      </c>
      <c r="B3921" s="6" t="str">
        <f>"FES1162692117"</f>
        <v>FES1162692117</v>
      </c>
      <c r="C3921" s="7">
        <v>43613</v>
      </c>
      <c r="D3921" s="6">
        <v>1</v>
      </c>
      <c r="E3921" s="6">
        <v>2170688492</v>
      </c>
      <c r="F3921" s="6" t="s">
        <v>16</v>
      </c>
      <c r="G3921" s="6" t="s">
        <v>17</v>
      </c>
      <c r="H3921" s="6" t="s">
        <v>17</v>
      </c>
      <c r="I3921" s="6" t="s">
        <v>64</v>
      </c>
      <c r="J3921" s="6" t="s">
        <v>116</v>
      </c>
      <c r="K3921" s="7">
        <v>43614</v>
      </c>
      <c r="L3921" s="8">
        <v>0.32708333333333334</v>
      </c>
      <c r="M3921" s="6" t="s">
        <v>4535</v>
      </c>
      <c r="N3921" s="14" t="s">
        <v>21</v>
      </c>
      <c r="O3921" s="6" t="s">
        <v>22</v>
      </c>
    </row>
    <row r="3922" spans="1:15">
      <c r="A3922" s="6" t="s">
        <v>15</v>
      </c>
      <c r="B3922" s="6" t="str">
        <f>"FES1162692159"</f>
        <v>FES1162692159</v>
      </c>
      <c r="C3922" s="7">
        <v>43613</v>
      </c>
      <c r="D3922" s="6">
        <v>1</v>
      </c>
      <c r="E3922" s="6">
        <v>2170690502</v>
      </c>
      <c r="F3922" s="6" t="s">
        <v>16</v>
      </c>
      <c r="G3922" s="6" t="s">
        <v>17</v>
      </c>
      <c r="H3922" s="6" t="s">
        <v>17</v>
      </c>
      <c r="I3922" s="6" t="s">
        <v>29</v>
      </c>
      <c r="J3922" s="6" t="s">
        <v>1080</v>
      </c>
      <c r="K3922" s="7">
        <v>43614</v>
      </c>
      <c r="L3922" s="8">
        <v>0.43402777777777773</v>
      </c>
      <c r="M3922" s="6" t="s">
        <v>1748</v>
      </c>
      <c r="N3922" s="14" t="s">
        <v>21</v>
      </c>
      <c r="O3922" s="6" t="s">
        <v>22</v>
      </c>
    </row>
    <row r="3923" spans="1:15">
      <c r="A3923" s="6" t="s">
        <v>15</v>
      </c>
      <c r="B3923" s="6" t="str">
        <f>"FES1162692161"</f>
        <v>FES1162692161</v>
      </c>
      <c r="C3923" s="7">
        <v>43613</v>
      </c>
      <c r="D3923" s="6">
        <v>1</v>
      </c>
      <c r="E3923" s="6">
        <v>2170690505</v>
      </c>
      <c r="F3923" s="6" t="s">
        <v>16</v>
      </c>
      <c r="G3923" s="6" t="s">
        <v>17</v>
      </c>
      <c r="H3923" s="6" t="s">
        <v>17</v>
      </c>
      <c r="I3923" s="6" t="s">
        <v>64</v>
      </c>
      <c r="J3923" s="6" t="s">
        <v>3398</v>
      </c>
      <c r="K3923" s="7">
        <v>43614</v>
      </c>
      <c r="L3923" s="8">
        <v>0.34930555555555554</v>
      </c>
      <c r="M3923" s="6" t="s">
        <v>4538</v>
      </c>
      <c r="N3923" s="14" t="s">
        <v>21</v>
      </c>
      <c r="O3923" s="6" t="s">
        <v>22</v>
      </c>
    </row>
    <row r="3924" spans="1:15">
      <c r="A3924" s="6" t="s">
        <v>15</v>
      </c>
      <c r="B3924" s="6" t="str">
        <f>"FES1162692201"</f>
        <v>FES1162692201</v>
      </c>
      <c r="C3924" s="7">
        <v>43613</v>
      </c>
      <c r="D3924" s="6">
        <v>1</v>
      </c>
      <c r="E3924" s="6">
        <v>2170690452</v>
      </c>
      <c r="F3924" s="6" t="s">
        <v>16</v>
      </c>
      <c r="G3924" s="6" t="s">
        <v>17</v>
      </c>
      <c r="H3924" s="6" t="s">
        <v>17</v>
      </c>
      <c r="I3924" s="6" t="s">
        <v>103</v>
      </c>
      <c r="J3924" s="6" t="s">
        <v>705</v>
      </c>
      <c r="K3924" s="7">
        <v>43614</v>
      </c>
      <c r="L3924" s="8">
        <v>0.29305555555555557</v>
      </c>
      <c r="M3924" s="6" t="s">
        <v>4539</v>
      </c>
      <c r="N3924" s="14" t="s">
        <v>21</v>
      </c>
      <c r="O3924" s="6" t="s">
        <v>22</v>
      </c>
    </row>
    <row r="3925" spans="1:15" hidden="1">
      <c r="A3925" t="s">
        <v>15</v>
      </c>
      <c r="B3925" t="str">
        <f>"FES1162692125"</f>
        <v>FES1162692125</v>
      </c>
      <c r="C3925" s="9">
        <v>43613</v>
      </c>
      <c r="D3925">
        <v>1</v>
      </c>
      <c r="E3925">
        <v>2170698858</v>
      </c>
      <c r="F3925" t="s">
        <v>16</v>
      </c>
      <c r="G3925" t="s">
        <v>17</v>
      </c>
      <c r="H3925" t="s">
        <v>290</v>
      </c>
      <c r="I3925" t="s">
        <v>316</v>
      </c>
      <c r="J3925" t="s">
        <v>3486</v>
      </c>
      <c r="K3925" t="s">
        <v>1730</v>
      </c>
      <c r="L3925"/>
      <c r="M3925" t="s">
        <v>1731</v>
      </c>
      <c r="N3925" t="s">
        <v>4540</v>
      </c>
      <c r="O3925" t="s">
        <v>22</v>
      </c>
    </row>
    <row r="3926" spans="1:15">
      <c r="A3926" s="6" t="s">
        <v>15</v>
      </c>
      <c r="B3926" s="6" t="str">
        <f>"FES1162692153"</f>
        <v>FES1162692153</v>
      </c>
      <c r="C3926" s="7">
        <v>43613</v>
      </c>
      <c r="D3926" s="6">
        <v>1</v>
      </c>
      <c r="E3926" s="6">
        <v>2170690271</v>
      </c>
      <c r="F3926" s="6" t="s">
        <v>16</v>
      </c>
      <c r="G3926" s="6" t="s">
        <v>17</v>
      </c>
      <c r="H3926" s="6" t="s">
        <v>17</v>
      </c>
      <c r="I3926" s="6" t="s">
        <v>64</v>
      </c>
      <c r="J3926" s="6" t="s">
        <v>2681</v>
      </c>
      <c r="K3926" s="7">
        <v>43614</v>
      </c>
      <c r="L3926" s="8">
        <v>0.3611111111111111</v>
      </c>
      <c r="M3926" s="6" t="s">
        <v>4541</v>
      </c>
      <c r="N3926" s="14" t="s">
        <v>21</v>
      </c>
      <c r="O3926" s="6" t="s">
        <v>22</v>
      </c>
    </row>
    <row r="3927" spans="1:15" hidden="1">
      <c r="A3927" t="s">
        <v>15</v>
      </c>
      <c r="B3927" t="str">
        <f>"FES1162692179"</f>
        <v>FES1162692179</v>
      </c>
      <c r="C3927" s="9">
        <v>43613</v>
      </c>
      <c r="D3927">
        <v>1</v>
      </c>
      <c r="E3927">
        <v>2170695220</v>
      </c>
      <c r="F3927" t="s">
        <v>16</v>
      </c>
      <c r="G3927" t="s">
        <v>17</v>
      </c>
      <c r="H3927" t="s">
        <v>290</v>
      </c>
      <c r="I3927" t="s">
        <v>601</v>
      </c>
      <c r="J3927" t="s">
        <v>602</v>
      </c>
      <c r="K3927" s="9">
        <v>43614</v>
      </c>
      <c r="L3927" s="10">
        <v>0.60763888888888895</v>
      </c>
      <c r="M3927" t="s">
        <v>4542</v>
      </c>
      <c r="N3927" t="s">
        <v>4543</v>
      </c>
      <c r="O3927" t="s">
        <v>22</v>
      </c>
    </row>
    <row r="3928" spans="1:15" hidden="1">
      <c r="A3928" t="s">
        <v>15</v>
      </c>
      <c r="B3928" t="str">
        <f>"FES1162692119"</f>
        <v>FES1162692119</v>
      </c>
      <c r="C3928" s="9">
        <v>43613</v>
      </c>
      <c r="D3928">
        <v>1</v>
      </c>
      <c r="E3928">
        <v>2170688658</v>
      </c>
      <c r="F3928" t="s">
        <v>16</v>
      </c>
      <c r="G3928" t="s">
        <v>17</v>
      </c>
      <c r="H3928" t="s">
        <v>43</v>
      </c>
      <c r="I3928" t="s">
        <v>75</v>
      </c>
      <c r="J3928" t="s">
        <v>811</v>
      </c>
      <c r="K3928" s="9">
        <v>43614</v>
      </c>
      <c r="L3928" s="10">
        <v>0.50069444444444444</v>
      </c>
      <c r="M3928" t="s">
        <v>1167</v>
      </c>
      <c r="N3928" t="s">
        <v>4544</v>
      </c>
      <c r="O3928" t="s">
        <v>22</v>
      </c>
    </row>
    <row r="3929" spans="1:15" hidden="1">
      <c r="A3929" t="s">
        <v>15</v>
      </c>
      <c r="B3929" t="str">
        <f>"FES1162692111"</f>
        <v>FES1162692111</v>
      </c>
      <c r="C3929" s="9">
        <v>43613</v>
      </c>
      <c r="D3929">
        <v>1</v>
      </c>
      <c r="E3929">
        <v>2170688062</v>
      </c>
      <c r="F3929" t="s">
        <v>16</v>
      </c>
      <c r="G3929" t="s">
        <v>17</v>
      </c>
      <c r="H3929" t="s">
        <v>290</v>
      </c>
      <c r="I3929" t="s">
        <v>291</v>
      </c>
      <c r="J3929" t="s">
        <v>294</v>
      </c>
      <c r="K3929" s="9">
        <v>43614</v>
      </c>
      <c r="L3929" s="10">
        <v>0.3263888888888889</v>
      </c>
      <c r="M3929" t="s">
        <v>769</v>
      </c>
      <c r="N3929" t="s">
        <v>4545</v>
      </c>
      <c r="O3929" t="s">
        <v>22</v>
      </c>
    </row>
    <row r="3930" spans="1:15" hidden="1">
      <c r="A3930" t="s">
        <v>15</v>
      </c>
      <c r="B3930" t="str">
        <f>"FES1162692148"</f>
        <v>FES1162692148</v>
      </c>
      <c r="C3930" s="9">
        <v>43613</v>
      </c>
      <c r="D3930">
        <v>1</v>
      </c>
      <c r="E3930">
        <v>217069008</v>
      </c>
      <c r="F3930" t="s">
        <v>16</v>
      </c>
      <c r="G3930" t="s">
        <v>17</v>
      </c>
      <c r="H3930" t="s">
        <v>43</v>
      </c>
      <c r="I3930" t="s">
        <v>60</v>
      </c>
      <c r="J3930" t="s">
        <v>242</v>
      </c>
      <c r="K3930" t="s">
        <v>1730</v>
      </c>
      <c r="L3930"/>
      <c r="M3930" t="s">
        <v>1731</v>
      </c>
      <c r="N3930" t="s">
        <v>4546</v>
      </c>
      <c r="O3930" t="s">
        <v>22</v>
      </c>
    </row>
    <row r="3931" spans="1:15" hidden="1">
      <c r="A3931" t="s">
        <v>15</v>
      </c>
      <c r="B3931" t="str">
        <f>"FES1162692114"</f>
        <v>FES1162692114</v>
      </c>
      <c r="C3931" s="9">
        <v>43613</v>
      </c>
      <c r="D3931">
        <v>1</v>
      </c>
      <c r="E3931">
        <v>2170688330</v>
      </c>
      <c r="F3931" t="s">
        <v>16</v>
      </c>
      <c r="G3931" t="s">
        <v>17</v>
      </c>
      <c r="H3931" t="s">
        <v>43</v>
      </c>
      <c r="I3931" t="s">
        <v>54</v>
      </c>
      <c r="J3931" t="s">
        <v>659</v>
      </c>
      <c r="K3931" s="9">
        <v>43614</v>
      </c>
      <c r="L3931" s="10">
        <v>0.41666666666666669</v>
      </c>
      <c r="M3931" t="s">
        <v>3948</v>
      </c>
      <c r="N3931" t="s">
        <v>4547</v>
      </c>
      <c r="O3931" t="s">
        <v>22</v>
      </c>
    </row>
    <row r="3932" spans="1:15" hidden="1">
      <c r="A3932" t="s">
        <v>15</v>
      </c>
      <c r="B3932" t="str">
        <f>"FES1162692166"</f>
        <v>FES1162692166</v>
      </c>
      <c r="C3932" s="9">
        <v>43613</v>
      </c>
      <c r="D3932">
        <v>1</v>
      </c>
      <c r="E3932">
        <v>2170690510</v>
      </c>
      <c r="F3932" t="s">
        <v>16</v>
      </c>
      <c r="G3932" t="s">
        <v>17</v>
      </c>
      <c r="H3932" t="s">
        <v>43</v>
      </c>
      <c r="I3932" t="s">
        <v>44</v>
      </c>
      <c r="J3932" t="s">
        <v>1968</v>
      </c>
      <c r="K3932" s="9">
        <v>43614</v>
      </c>
      <c r="L3932" s="10">
        <v>0.37291666666666662</v>
      </c>
      <c r="M3932" t="s">
        <v>4548</v>
      </c>
      <c r="N3932" t="s">
        <v>4549</v>
      </c>
      <c r="O3932" t="s">
        <v>22</v>
      </c>
    </row>
    <row r="3933" spans="1:15" hidden="1">
      <c r="A3933" t="s">
        <v>15</v>
      </c>
      <c r="B3933" t="str">
        <f>"FES1162692115"</f>
        <v>FES1162692115</v>
      </c>
      <c r="C3933" s="9">
        <v>43613</v>
      </c>
      <c r="D3933">
        <v>1</v>
      </c>
      <c r="E3933">
        <v>2170698874</v>
      </c>
      <c r="F3933" t="s">
        <v>16</v>
      </c>
      <c r="G3933" t="s">
        <v>17</v>
      </c>
      <c r="H3933" t="s">
        <v>43</v>
      </c>
      <c r="I3933" t="s">
        <v>44</v>
      </c>
      <c r="J3933" t="s">
        <v>1284</v>
      </c>
      <c r="K3933" s="9">
        <v>43614</v>
      </c>
      <c r="L3933" s="10">
        <v>0.40069444444444446</v>
      </c>
      <c r="M3933" t="s">
        <v>4550</v>
      </c>
      <c r="N3933" t="s">
        <v>4551</v>
      </c>
      <c r="O3933" t="s">
        <v>22</v>
      </c>
    </row>
    <row r="3934" spans="1:15" hidden="1">
      <c r="A3934" t="s">
        <v>15</v>
      </c>
      <c r="B3934" t="str">
        <f>"FES1162692124"</f>
        <v>FES1162692124</v>
      </c>
      <c r="C3934" s="9">
        <v>43613</v>
      </c>
      <c r="D3934">
        <v>1</v>
      </c>
      <c r="E3934">
        <v>2170688948</v>
      </c>
      <c r="F3934" t="s">
        <v>16</v>
      </c>
      <c r="G3934" t="s">
        <v>17</v>
      </c>
      <c r="H3934" t="s">
        <v>290</v>
      </c>
      <c r="I3934" t="s">
        <v>291</v>
      </c>
      <c r="J3934" t="s">
        <v>297</v>
      </c>
      <c r="K3934" s="9">
        <v>43614</v>
      </c>
      <c r="L3934" s="10">
        <v>0.39374999999999999</v>
      </c>
      <c r="M3934" t="s">
        <v>298</v>
      </c>
      <c r="N3934" t="s">
        <v>4552</v>
      </c>
      <c r="O3934" t="s">
        <v>22</v>
      </c>
    </row>
    <row r="3935" spans="1:15" hidden="1">
      <c r="A3935" t="s">
        <v>15</v>
      </c>
      <c r="B3935" t="str">
        <f>"FES1162692122"</f>
        <v>FES1162692122</v>
      </c>
      <c r="C3935" s="9">
        <v>43613</v>
      </c>
      <c r="D3935">
        <v>1</v>
      </c>
      <c r="E3935">
        <v>217068856</v>
      </c>
      <c r="F3935" t="s">
        <v>16</v>
      </c>
      <c r="G3935" t="s">
        <v>17</v>
      </c>
      <c r="H3935" t="s">
        <v>43</v>
      </c>
      <c r="I3935" t="s">
        <v>807</v>
      </c>
      <c r="J3935" t="s">
        <v>808</v>
      </c>
      <c r="K3935" s="9">
        <v>43614</v>
      </c>
      <c r="L3935" s="10">
        <v>0.59027777777777779</v>
      </c>
      <c r="M3935" t="s">
        <v>4553</v>
      </c>
      <c r="N3935" t="s">
        <v>4554</v>
      </c>
      <c r="O3935" t="s">
        <v>22</v>
      </c>
    </row>
    <row r="3936" spans="1:15">
      <c r="A3936" s="6" t="s">
        <v>15</v>
      </c>
      <c r="B3936" s="6" t="str">
        <f>"FES1162692120"</f>
        <v>FES1162692120</v>
      </c>
      <c r="C3936" s="7">
        <v>43613</v>
      </c>
      <c r="D3936" s="6">
        <v>1</v>
      </c>
      <c r="E3936" s="6">
        <v>2170688776</v>
      </c>
      <c r="F3936" s="6" t="s">
        <v>16</v>
      </c>
      <c r="G3936" s="6" t="s">
        <v>17</v>
      </c>
      <c r="H3936" s="6" t="s">
        <v>17</v>
      </c>
      <c r="I3936" s="6" t="s">
        <v>64</v>
      </c>
      <c r="J3936" s="6" t="s">
        <v>4555</v>
      </c>
      <c r="K3936" s="7">
        <v>43614</v>
      </c>
      <c r="L3936" s="8">
        <v>0.41111111111111115</v>
      </c>
      <c r="M3936" s="6" t="s">
        <v>3852</v>
      </c>
      <c r="N3936" s="14" t="s">
        <v>21</v>
      </c>
      <c r="O3936" s="6" t="s">
        <v>22</v>
      </c>
    </row>
    <row r="3937" spans="1:15">
      <c r="A3937" s="6" t="s">
        <v>15</v>
      </c>
      <c r="B3937" s="6" t="str">
        <f>"FES1162692160"</f>
        <v>FES1162692160</v>
      </c>
      <c r="C3937" s="7">
        <v>43613</v>
      </c>
      <c r="D3937" s="6">
        <v>1</v>
      </c>
      <c r="E3937" s="6">
        <v>2170695054</v>
      </c>
      <c r="F3937" s="6" t="s">
        <v>16</v>
      </c>
      <c r="G3937" s="6" t="s">
        <v>17</v>
      </c>
      <c r="H3937" s="6" t="s">
        <v>17</v>
      </c>
      <c r="I3937" s="6" t="s">
        <v>148</v>
      </c>
      <c r="J3937" s="6" t="s">
        <v>153</v>
      </c>
      <c r="K3937" s="7">
        <v>43614</v>
      </c>
      <c r="L3937" s="8">
        <v>0.43124999999999997</v>
      </c>
      <c r="M3937" s="6" t="s">
        <v>712</v>
      </c>
      <c r="N3937" s="14" t="s">
        <v>21</v>
      </c>
      <c r="O3937" s="6" t="s">
        <v>22</v>
      </c>
    </row>
    <row r="3938" spans="1:15" hidden="1">
      <c r="A3938" t="s">
        <v>15</v>
      </c>
      <c r="B3938" t="str">
        <f>"FES1162692126"</f>
        <v>FES1162692126</v>
      </c>
      <c r="C3938" s="9">
        <v>43613</v>
      </c>
      <c r="D3938">
        <v>1</v>
      </c>
      <c r="E3938">
        <v>2170688988</v>
      </c>
      <c r="F3938" t="s">
        <v>16</v>
      </c>
      <c r="G3938" t="s">
        <v>17</v>
      </c>
      <c r="H3938" t="s">
        <v>300</v>
      </c>
      <c r="I3938" t="s">
        <v>301</v>
      </c>
      <c r="J3938" t="s">
        <v>3515</v>
      </c>
      <c r="K3938" t="s">
        <v>1730</v>
      </c>
      <c r="L3938"/>
      <c r="M3938" t="s">
        <v>1731</v>
      </c>
      <c r="N3938" t="s">
        <v>4556</v>
      </c>
      <c r="O3938" t="s">
        <v>22</v>
      </c>
    </row>
    <row r="3939" spans="1:15" hidden="1">
      <c r="A3939" t="s">
        <v>15</v>
      </c>
      <c r="B3939" t="str">
        <f>"FES1162692152"</f>
        <v>FES1162692152</v>
      </c>
      <c r="C3939" s="9">
        <v>43613</v>
      </c>
      <c r="D3939">
        <v>1</v>
      </c>
      <c r="E3939">
        <v>2170690173</v>
      </c>
      <c r="F3939" t="s">
        <v>16</v>
      </c>
      <c r="G3939" t="s">
        <v>17</v>
      </c>
      <c r="H3939" t="s">
        <v>290</v>
      </c>
      <c r="I3939" t="s">
        <v>291</v>
      </c>
      <c r="J3939" t="s">
        <v>1030</v>
      </c>
      <c r="K3939" s="9">
        <v>43614</v>
      </c>
      <c r="L3939" s="10">
        <v>0.33333333333333331</v>
      </c>
      <c r="M3939" t="s">
        <v>3722</v>
      </c>
      <c r="N3939" t="s">
        <v>4557</v>
      </c>
      <c r="O3939" t="s">
        <v>22</v>
      </c>
    </row>
    <row r="3940" spans="1:15">
      <c r="A3940" s="6" t="s">
        <v>15</v>
      </c>
      <c r="B3940" s="6" t="str">
        <f>"FES1162692131"</f>
        <v>FES1162692131</v>
      </c>
      <c r="C3940" s="7">
        <v>43613</v>
      </c>
      <c r="D3940" s="6">
        <v>1</v>
      </c>
      <c r="E3940" s="6">
        <v>2170689258</v>
      </c>
      <c r="F3940" s="6" t="s">
        <v>16</v>
      </c>
      <c r="G3940" s="6" t="s">
        <v>17</v>
      </c>
      <c r="H3940" s="6" t="s">
        <v>17</v>
      </c>
      <c r="I3940" s="6" t="s">
        <v>148</v>
      </c>
      <c r="J3940" s="6" t="s">
        <v>3890</v>
      </c>
      <c r="K3940" s="7">
        <v>43614</v>
      </c>
      <c r="L3940" s="8">
        <v>0.42708333333333331</v>
      </c>
      <c r="M3940" s="6" t="s">
        <v>4558</v>
      </c>
      <c r="N3940" s="14" t="s">
        <v>21</v>
      </c>
      <c r="O3940" s="6" t="s">
        <v>22</v>
      </c>
    </row>
    <row r="3941" spans="1:15">
      <c r="A3941" s="6" t="s">
        <v>15</v>
      </c>
      <c r="B3941" s="6" t="str">
        <f>"FES1162691930"</f>
        <v>FES1162691930</v>
      </c>
      <c r="C3941" s="7">
        <v>43613</v>
      </c>
      <c r="D3941" s="6">
        <v>1</v>
      </c>
      <c r="E3941" s="6">
        <v>2170690264</v>
      </c>
      <c r="F3941" s="6" t="s">
        <v>16</v>
      </c>
      <c r="G3941" s="6" t="s">
        <v>17</v>
      </c>
      <c r="H3941" s="6" t="s">
        <v>17</v>
      </c>
      <c r="I3941" s="6" t="s">
        <v>18</v>
      </c>
      <c r="J3941" s="6" t="s">
        <v>19</v>
      </c>
      <c r="K3941" s="7">
        <v>43614</v>
      </c>
      <c r="L3941" s="8">
        <v>0.3520833333333333</v>
      </c>
      <c r="M3941" s="6" t="s">
        <v>2039</v>
      </c>
      <c r="N3941" s="14" t="s">
        <v>21</v>
      </c>
      <c r="O3941" s="6" t="s">
        <v>22</v>
      </c>
    </row>
    <row r="3942" spans="1:15" hidden="1">
      <c r="A3942" s="6" t="s">
        <v>15</v>
      </c>
      <c r="B3942" s="6" t="str">
        <f>"FES1162692170"</f>
        <v>FES1162692170</v>
      </c>
      <c r="C3942" s="7">
        <v>43613</v>
      </c>
      <c r="D3942" s="6">
        <v>1</v>
      </c>
      <c r="E3942" s="6">
        <v>2170688117</v>
      </c>
      <c r="F3942" s="6" t="s">
        <v>16</v>
      </c>
      <c r="G3942" s="6" t="s">
        <v>17</v>
      </c>
      <c r="H3942" s="6" t="s">
        <v>59</v>
      </c>
      <c r="I3942" s="6" t="s">
        <v>23</v>
      </c>
      <c r="J3942" s="6" t="s">
        <v>2367</v>
      </c>
      <c r="K3942" s="7">
        <v>43614</v>
      </c>
      <c r="L3942" s="8">
        <v>0.4375</v>
      </c>
      <c r="M3942" s="6" t="s">
        <v>996</v>
      </c>
      <c r="N3942" s="14" t="s">
        <v>21</v>
      </c>
      <c r="O3942" s="6" t="s">
        <v>22</v>
      </c>
    </row>
    <row r="3943" spans="1:15">
      <c r="A3943" s="6" t="s">
        <v>15</v>
      </c>
      <c r="B3943" s="6" t="str">
        <f>"FES1162692146"</f>
        <v>FES1162692146</v>
      </c>
      <c r="C3943" s="7">
        <v>43613</v>
      </c>
      <c r="D3943" s="6">
        <v>1</v>
      </c>
      <c r="E3943" s="6">
        <v>2170689885</v>
      </c>
      <c r="F3943" s="6" t="s">
        <v>16</v>
      </c>
      <c r="G3943" s="6" t="s">
        <v>17</v>
      </c>
      <c r="H3943" s="6" t="s">
        <v>17</v>
      </c>
      <c r="I3943" s="6" t="s">
        <v>103</v>
      </c>
      <c r="J3943" s="6" t="s">
        <v>3037</v>
      </c>
      <c r="K3943" s="7">
        <v>43614</v>
      </c>
      <c r="L3943" s="8">
        <v>0.46319444444444446</v>
      </c>
      <c r="M3943" s="6" t="s">
        <v>100</v>
      </c>
      <c r="N3943" s="14" t="s">
        <v>21</v>
      </c>
      <c r="O3943" s="6" t="s">
        <v>22</v>
      </c>
    </row>
    <row r="3944" spans="1:15" hidden="1">
      <c r="A3944" t="s">
        <v>15</v>
      </c>
      <c r="B3944" t="str">
        <f>"FES1162692142"</f>
        <v>FES1162692142</v>
      </c>
      <c r="C3944" s="9">
        <v>43613</v>
      </c>
      <c r="D3944">
        <v>1</v>
      </c>
      <c r="E3944">
        <v>2170689662</v>
      </c>
      <c r="F3944" t="s">
        <v>16</v>
      </c>
      <c r="G3944" t="s">
        <v>17</v>
      </c>
      <c r="H3944" t="s">
        <v>43</v>
      </c>
      <c r="I3944" t="s">
        <v>60</v>
      </c>
      <c r="J3944" t="s">
        <v>409</v>
      </c>
      <c r="K3944" t="s">
        <v>1730</v>
      </c>
      <c r="L3944"/>
      <c r="M3944" t="s">
        <v>1731</v>
      </c>
      <c r="N3944" t="s">
        <v>4546</v>
      </c>
      <c r="O3944" t="s">
        <v>22</v>
      </c>
    </row>
    <row r="3945" spans="1:15" hidden="1">
      <c r="A3945" t="s">
        <v>15</v>
      </c>
      <c r="B3945" t="str">
        <f>"FES1162692110"</f>
        <v>FES1162692110</v>
      </c>
      <c r="C3945" s="9">
        <v>43613</v>
      </c>
      <c r="D3945">
        <v>2</v>
      </c>
      <c r="E3945">
        <v>2170687570</v>
      </c>
      <c r="F3945" t="s">
        <v>58</v>
      </c>
      <c r="G3945" t="s">
        <v>59</v>
      </c>
      <c r="H3945" t="s">
        <v>43</v>
      </c>
      <c r="I3945" t="s">
        <v>60</v>
      </c>
      <c r="J3945" t="s">
        <v>61</v>
      </c>
      <c r="K3945" t="s">
        <v>1730</v>
      </c>
      <c r="L3945"/>
      <c r="M3945" t="s">
        <v>1731</v>
      </c>
      <c r="N3945" t="s">
        <v>4546</v>
      </c>
      <c r="O3945" t="s">
        <v>22</v>
      </c>
    </row>
    <row r="3946" spans="1:15">
      <c r="A3946" s="6" t="s">
        <v>15</v>
      </c>
      <c r="B3946" s="6" t="str">
        <f>"FES1162692154"</f>
        <v>FES1162692154</v>
      </c>
      <c r="C3946" s="7">
        <v>43613</v>
      </c>
      <c r="D3946" s="6">
        <v>1</v>
      </c>
      <c r="E3946" s="6">
        <v>2170690345</v>
      </c>
      <c r="F3946" s="6" t="s">
        <v>16</v>
      </c>
      <c r="G3946" s="6" t="s">
        <v>17</v>
      </c>
      <c r="H3946" s="6" t="s">
        <v>17</v>
      </c>
      <c r="I3946" s="6" t="s">
        <v>64</v>
      </c>
      <c r="J3946" s="6" t="s">
        <v>2681</v>
      </c>
      <c r="K3946" s="7">
        <v>43614</v>
      </c>
      <c r="L3946" s="8">
        <v>0.43055555555555558</v>
      </c>
      <c r="M3946" s="6" t="s">
        <v>4541</v>
      </c>
      <c r="N3946" s="6" t="s">
        <v>21</v>
      </c>
      <c r="O3946" s="6" t="s">
        <v>22</v>
      </c>
    </row>
    <row r="3947" spans="1:15" hidden="1">
      <c r="A3947" t="s">
        <v>15</v>
      </c>
      <c r="B3947" t="str">
        <f>"FES1162692171"</f>
        <v>FES1162692171</v>
      </c>
      <c r="C3947" s="9">
        <v>43613</v>
      </c>
      <c r="D3947">
        <v>1</v>
      </c>
      <c r="E3947">
        <v>2170690516</v>
      </c>
      <c r="F3947" t="s">
        <v>16</v>
      </c>
      <c r="G3947" t="s">
        <v>17</v>
      </c>
      <c r="H3947" t="s">
        <v>132</v>
      </c>
      <c r="I3947" t="s">
        <v>133</v>
      </c>
      <c r="J3947" t="s">
        <v>639</v>
      </c>
      <c r="K3947" s="9">
        <v>43614</v>
      </c>
      <c r="L3947" s="10">
        <v>0.38055555555555554</v>
      </c>
      <c r="M3947" t="s">
        <v>1931</v>
      </c>
      <c r="N3947" t="s">
        <v>4559</v>
      </c>
      <c r="O3947" t="s">
        <v>22</v>
      </c>
    </row>
    <row r="3948" spans="1:15" hidden="1">
      <c r="A3948" t="s">
        <v>15</v>
      </c>
      <c r="B3948" t="str">
        <f>"FES1162692128"</f>
        <v>FES1162692128</v>
      </c>
      <c r="C3948" s="9">
        <v>43613</v>
      </c>
      <c r="D3948">
        <v>1</v>
      </c>
      <c r="E3948">
        <v>217069169</v>
      </c>
      <c r="F3948" t="s">
        <v>16</v>
      </c>
      <c r="G3948" t="s">
        <v>17</v>
      </c>
      <c r="H3948" t="s">
        <v>132</v>
      </c>
      <c r="I3948" t="s">
        <v>133</v>
      </c>
      <c r="J3948" t="s">
        <v>639</v>
      </c>
      <c r="K3948" s="9">
        <v>43614</v>
      </c>
      <c r="L3948" s="10">
        <v>0.38055555555555554</v>
      </c>
      <c r="M3948" t="s">
        <v>1931</v>
      </c>
      <c r="N3948" t="s">
        <v>4560</v>
      </c>
      <c r="O3948" t="s">
        <v>22</v>
      </c>
    </row>
    <row r="3949" spans="1:15" hidden="1">
      <c r="A3949" t="s">
        <v>15</v>
      </c>
      <c r="B3949" t="str">
        <f>"FES1162692143"</f>
        <v>FES1162692143</v>
      </c>
      <c r="C3949" s="9">
        <v>43613</v>
      </c>
      <c r="D3949">
        <v>1</v>
      </c>
      <c r="E3949">
        <v>2170689659</v>
      </c>
      <c r="F3949" t="s">
        <v>16</v>
      </c>
      <c r="G3949" t="s">
        <v>17</v>
      </c>
      <c r="H3949" t="s">
        <v>141</v>
      </c>
      <c r="I3949" t="s">
        <v>433</v>
      </c>
      <c r="J3949" t="s">
        <v>609</v>
      </c>
      <c r="K3949" t="s">
        <v>1730</v>
      </c>
      <c r="L3949"/>
      <c r="M3949" t="s">
        <v>1731</v>
      </c>
      <c r="N3949" t="s">
        <v>4561</v>
      </c>
      <c r="O3949" t="s">
        <v>22</v>
      </c>
    </row>
    <row r="3950" spans="1:15" hidden="1">
      <c r="A3950" t="s">
        <v>15</v>
      </c>
      <c r="B3950" t="str">
        <f>"FES1162692144"</f>
        <v>FES1162692144</v>
      </c>
      <c r="C3950" s="9">
        <v>43613</v>
      </c>
      <c r="D3950">
        <v>1</v>
      </c>
      <c r="E3950">
        <v>2170689696</v>
      </c>
      <c r="F3950" t="s">
        <v>16</v>
      </c>
      <c r="G3950" t="s">
        <v>17</v>
      </c>
      <c r="H3950" t="s">
        <v>141</v>
      </c>
      <c r="I3950" t="s">
        <v>433</v>
      </c>
      <c r="J3950" t="s">
        <v>609</v>
      </c>
      <c r="K3950" s="9">
        <v>43614</v>
      </c>
      <c r="L3950" s="10">
        <v>0.49513888888888885</v>
      </c>
      <c r="M3950" t="s">
        <v>4562</v>
      </c>
      <c r="N3950" t="s">
        <v>4563</v>
      </c>
      <c r="O3950" t="s">
        <v>22</v>
      </c>
    </row>
    <row r="3951" spans="1:15" hidden="1">
      <c r="A3951" t="s">
        <v>15</v>
      </c>
      <c r="B3951" t="str">
        <f>"FES1162692172"</f>
        <v>FES1162692172</v>
      </c>
      <c r="C3951" s="9">
        <v>43613</v>
      </c>
      <c r="D3951">
        <v>1</v>
      </c>
      <c r="E3951">
        <v>2170690517</v>
      </c>
      <c r="F3951" t="s">
        <v>16</v>
      </c>
      <c r="G3951" t="s">
        <v>17</v>
      </c>
      <c r="H3951" t="s">
        <v>141</v>
      </c>
      <c r="I3951" t="s">
        <v>448</v>
      </c>
      <c r="J3951" t="s">
        <v>2064</v>
      </c>
      <c r="K3951" s="9">
        <v>43614</v>
      </c>
      <c r="L3951" s="10">
        <v>0.3840277777777778</v>
      </c>
      <c r="M3951" t="s">
        <v>4564</v>
      </c>
      <c r="N3951" t="s">
        <v>4565</v>
      </c>
      <c r="O3951" t="s">
        <v>22</v>
      </c>
    </row>
    <row r="3952" spans="1:15">
      <c r="A3952" s="6" t="s">
        <v>15</v>
      </c>
      <c r="B3952" s="6" t="str">
        <f>"FES1162689949"</f>
        <v>FES1162689949</v>
      </c>
      <c r="C3952" s="7">
        <v>43613</v>
      </c>
      <c r="D3952" s="6">
        <v>1</v>
      </c>
      <c r="E3952" s="6">
        <v>2170686436</v>
      </c>
      <c r="F3952" s="6" t="s">
        <v>16</v>
      </c>
      <c r="G3952" s="6" t="s">
        <v>17</v>
      </c>
      <c r="H3952" s="6" t="s">
        <v>17</v>
      </c>
      <c r="I3952" s="6" t="s">
        <v>613</v>
      </c>
      <c r="J3952" s="6" t="s">
        <v>4566</v>
      </c>
      <c r="K3952" s="7">
        <v>43614</v>
      </c>
      <c r="L3952" s="8">
        <v>0.3840277777777778</v>
      </c>
      <c r="M3952" s="6" t="s">
        <v>4567</v>
      </c>
      <c r="N3952" s="6" t="s">
        <v>21</v>
      </c>
      <c r="O3952" s="6" t="s">
        <v>22</v>
      </c>
    </row>
    <row r="3953" spans="1:15" hidden="1">
      <c r="A3953" t="s">
        <v>15</v>
      </c>
      <c r="B3953" t="str">
        <f>"FES1162692176"</f>
        <v>FES1162692176</v>
      </c>
      <c r="C3953" s="9">
        <v>43613</v>
      </c>
      <c r="D3953">
        <v>1</v>
      </c>
      <c r="E3953">
        <v>2170690521</v>
      </c>
      <c r="F3953" t="s">
        <v>16</v>
      </c>
      <c r="G3953" t="s">
        <v>17</v>
      </c>
      <c r="H3953" t="s">
        <v>141</v>
      </c>
      <c r="I3953" t="s">
        <v>185</v>
      </c>
      <c r="J3953" t="s">
        <v>1499</v>
      </c>
      <c r="K3953" s="9">
        <v>43614</v>
      </c>
      <c r="L3953" s="10">
        <v>0.41388888888888892</v>
      </c>
      <c r="M3953" t="s">
        <v>4568</v>
      </c>
      <c r="N3953" t="s">
        <v>4569</v>
      </c>
      <c r="O3953" t="s">
        <v>22</v>
      </c>
    </row>
    <row r="3954" spans="1:15" hidden="1">
      <c r="A3954" t="s">
        <v>15</v>
      </c>
      <c r="B3954" t="str">
        <f>"FES1162692150"</f>
        <v>FES1162692150</v>
      </c>
      <c r="C3954" s="9">
        <v>43613</v>
      </c>
      <c r="D3954">
        <v>1</v>
      </c>
      <c r="E3954">
        <v>21706890133</v>
      </c>
      <c r="F3954" t="s">
        <v>16</v>
      </c>
      <c r="G3954" t="s">
        <v>17</v>
      </c>
      <c r="H3954" t="s">
        <v>141</v>
      </c>
      <c r="I3954" t="s">
        <v>433</v>
      </c>
      <c r="J3954" t="s">
        <v>609</v>
      </c>
      <c r="K3954" s="9">
        <v>43614</v>
      </c>
      <c r="L3954" s="10">
        <v>0.52083333333333337</v>
      </c>
      <c r="M3954" t="s">
        <v>4562</v>
      </c>
      <c r="N3954" t="s">
        <v>4570</v>
      </c>
      <c r="O3954" t="s">
        <v>22</v>
      </c>
    </row>
    <row r="3955" spans="1:15" hidden="1">
      <c r="A3955" t="s">
        <v>15</v>
      </c>
      <c r="B3955" t="str">
        <f>"FES1162692156"</f>
        <v>FES1162692156</v>
      </c>
      <c r="C3955" s="9">
        <v>43613</v>
      </c>
      <c r="D3955">
        <v>1</v>
      </c>
      <c r="E3955">
        <v>2170690496</v>
      </c>
      <c r="F3955" t="s">
        <v>16</v>
      </c>
      <c r="G3955" t="s">
        <v>17</v>
      </c>
      <c r="H3955" t="s">
        <v>43</v>
      </c>
      <c r="I3955" t="s">
        <v>44</v>
      </c>
      <c r="J3955" t="s">
        <v>4571</v>
      </c>
      <c r="K3955" s="9">
        <v>43614</v>
      </c>
      <c r="L3955" s="10">
        <v>0.41666666666666669</v>
      </c>
      <c r="M3955" t="s">
        <v>4572</v>
      </c>
      <c r="N3955" t="s">
        <v>4573</v>
      </c>
      <c r="O3955" t="s">
        <v>22</v>
      </c>
    </row>
    <row r="3956" spans="1:15" hidden="1">
      <c r="A3956" t="s">
        <v>15</v>
      </c>
      <c r="B3956" t="str">
        <f>"FES1162692145"</f>
        <v>FES1162692145</v>
      </c>
      <c r="C3956" s="9">
        <v>43613</v>
      </c>
      <c r="D3956">
        <v>1</v>
      </c>
      <c r="E3956">
        <v>2170689855</v>
      </c>
      <c r="F3956" t="s">
        <v>16</v>
      </c>
      <c r="G3956" t="s">
        <v>17</v>
      </c>
      <c r="H3956" t="s">
        <v>290</v>
      </c>
      <c r="I3956" t="s">
        <v>309</v>
      </c>
      <c r="J3956" t="s">
        <v>1301</v>
      </c>
      <c r="K3956" t="s">
        <v>1730</v>
      </c>
      <c r="L3956"/>
      <c r="M3956" t="s">
        <v>1731</v>
      </c>
      <c r="N3956" t="s">
        <v>4574</v>
      </c>
      <c r="O3956" t="s">
        <v>22</v>
      </c>
    </row>
    <row r="3957" spans="1:15" hidden="1">
      <c r="A3957" t="s">
        <v>15</v>
      </c>
      <c r="B3957" t="str">
        <f>"FES1162692168"</f>
        <v>FES1162692168</v>
      </c>
      <c r="C3957" s="9">
        <v>43613</v>
      </c>
      <c r="D3957">
        <v>1</v>
      </c>
      <c r="E3957">
        <v>2170690514</v>
      </c>
      <c r="F3957" t="s">
        <v>16</v>
      </c>
      <c r="G3957" t="s">
        <v>17</v>
      </c>
      <c r="H3957" t="s">
        <v>132</v>
      </c>
      <c r="I3957" t="s">
        <v>133</v>
      </c>
      <c r="J3957" t="s">
        <v>639</v>
      </c>
      <c r="K3957" s="9">
        <v>43614</v>
      </c>
      <c r="L3957" s="10">
        <v>0.38055555555555554</v>
      </c>
      <c r="M3957" t="s">
        <v>1931</v>
      </c>
      <c r="N3957" t="s">
        <v>4575</v>
      </c>
      <c r="O3957" t="s">
        <v>22</v>
      </c>
    </row>
    <row r="3958" spans="1:15" hidden="1">
      <c r="A3958" t="s">
        <v>15</v>
      </c>
      <c r="B3958" t="str">
        <f>"FES1162692198"</f>
        <v>FES1162692198</v>
      </c>
      <c r="C3958" s="9">
        <v>43613</v>
      </c>
      <c r="D3958">
        <v>1</v>
      </c>
      <c r="E3958">
        <v>2170690513</v>
      </c>
      <c r="F3958" t="s">
        <v>16</v>
      </c>
      <c r="G3958" t="s">
        <v>17</v>
      </c>
      <c r="H3958" t="s">
        <v>132</v>
      </c>
      <c r="I3958" t="s">
        <v>133</v>
      </c>
      <c r="J3958" t="s">
        <v>639</v>
      </c>
      <c r="K3958" s="9">
        <v>43614</v>
      </c>
      <c r="L3958" s="10">
        <v>0.38055555555555554</v>
      </c>
      <c r="M3958" t="s">
        <v>3130</v>
      </c>
      <c r="N3958" t="s">
        <v>4576</v>
      </c>
      <c r="O3958" t="s">
        <v>22</v>
      </c>
    </row>
    <row r="3959" spans="1:15" hidden="1">
      <c r="A3959" t="s">
        <v>15</v>
      </c>
      <c r="B3959" t="str">
        <f>"FES1162692151"</f>
        <v>FES1162692151</v>
      </c>
      <c r="C3959" s="9">
        <v>43613</v>
      </c>
      <c r="D3959">
        <v>1</v>
      </c>
      <c r="E3959">
        <v>2170690134</v>
      </c>
      <c r="F3959" t="s">
        <v>16</v>
      </c>
      <c r="G3959" t="s">
        <v>17</v>
      </c>
      <c r="H3959" t="s">
        <v>141</v>
      </c>
      <c r="I3959" t="s">
        <v>433</v>
      </c>
      <c r="J3959" t="s">
        <v>609</v>
      </c>
      <c r="K3959" s="9">
        <v>43614</v>
      </c>
      <c r="L3959" s="10">
        <v>0.44444444444444442</v>
      </c>
      <c r="M3959" t="s">
        <v>4562</v>
      </c>
      <c r="N3959" t="s">
        <v>4577</v>
      </c>
      <c r="O3959" t="s">
        <v>22</v>
      </c>
    </row>
    <row r="3960" spans="1:15" hidden="1">
      <c r="A3960" t="s">
        <v>15</v>
      </c>
      <c r="B3960" t="str">
        <f>"FES1162692109"</f>
        <v>FES1162692109</v>
      </c>
      <c r="C3960" s="9">
        <v>43613</v>
      </c>
      <c r="D3960">
        <v>1</v>
      </c>
      <c r="E3960">
        <v>2170687341</v>
      </c>
      <c r="F3960" t="s">
        <v>16</v>
      </c>
      <c r="G3960" t="s">
        <v>17</v>
      </c>
      <c r="H3960" t="s">
        <v>141</v>
      </c>
      <c r="I3960" t="s">
        <v>142</v>
      </c>
      <c r="J3960" t="s">
        <v>864</v>
      </c>
      <c r="K3960" s="9">
        <v>43614</v>
      </c>
      <c r="L3960" s="10">
        <v>0.36041666666666666</v>
      </c>
      <c r="M3960" t="s">
        <v>2254</v>
      </c>
      <c r="N3960" t="s">
        <v>4578</v>
      </c>
      <c r="O3960" t="s">
        <v>22</v>
      </c>
    </row>
    <row r="3961" spans="1:15" hidden="1">
      <c r="A3961" t="s">
        <v>15</v>
      </c>
      <c r="B3961" t="str">
        <f>"FES1162691883"</f>
        <v>FES1162691883</v>
      </c>
      <c r="C3961" s="9">
        <v>43613</v>
      </c>
      <c r="D3961">
        <v>1</v>
      </c>
      <c r="E3961">
        <v>2170683332</v>
      </c>
      <c r="F3961" t="s">
        <v>16</v>
      </c>
      <c r="G3961" t="s">
        <v>17</v>
      </c>
      <c r="H3961" t="s">
        <v>141</v>
      </c>
      <c r="I3961" t="s">
        <v>142</v>
      </c>
      <c r="J3961" t="s">
        <v>195</v>
      </c>
      <c r="K3961" s="9">
        <v>43614</v>
      </c>
      <c r="L3961" s="10">
        <v>0.35069444444444442</v>
      </c>
      <c r="M3961" t="s">
        <v>2412</v>
      </c>
      <c r="N3961" t="s">
        <v>4579</v>
      </c>
      <c r="O3961" t="s">
        <v>22</v>
      </c>
    </row>
    <row r="3962" spans="1:15" hidden="1">
      <c r="A3962" t="s">
        <v>15</v>
      </c>
      <c r="B3962" t="str">
        <f>"FES1162691886"</f>
        <v>FES1162691886</v>
      </c>
      <c r="C3962" s="9">
        <v>43613</v>
      </c>
      <c r="D3962">
        <v>1</v>
      </c>
      <c r="E3962">
        <v>2170683333</v>
      </c>
      <c r="F3962" t="s">
        <v>16</v>
      </c>
      <c r="G3962" t="s">
        <v>17</v>
      </c>
      <c r="H3962" t="s">
        <v>141</v>
      </c>
      <c r="I3962" t="s">
        <v>142</v>
      </c>
      <c r="J3962" t="s">
        <v>195</v>
      </c>
      <c r="K3962" s="9">
        <v>43614</v>
      </c>
      <c r="L3962" s="10">
        <v>0.35069444444444442</v>
      </c>
      <c r="M3962" t="s">
        <v>2412</v>
      </c>
      <c r="N3962" t="s">
        <v>4580</v>
      </c>
      <c r="O3962" t="s">
        <v>22</v>
      </c>
    </row>
    <row r="3963" spans="1:15">
      <c r="A3963" s="6" t="s">
        <v>15</v>
      </c>
      <c r="B3963" s="6" t="str">
        <f>"FES1162692133"</f>
        <v>FES1162692133</v>
      </c>
      <c r="C3963" s="7">
        <v>43613</v>
      </c>
      <c r="D3963" s="6">
        <v>1</v>
      </c>
      <c r="E3963" s="6">
        <v>2170689370</v>
      </c>
      <c r="F3963" s="6" t="s">
        <v>16</v>
      </c>
      <c r="G3963" s="6" t="s">
        <v>17</v>
      </c>
      <c r="H3963" s="6" t="s">
        <v>17</v>
      </c>
      <c r="I3963" s="6" t="s">
        <v>103</v>
      </c>
      <c r="J3963" s="6" t="s">
        <v>393</v>
      </c>
      <c r="K3963" s="7">
        <v>43614</v>
      </c>
      <c r="L3963" s="8">
        <v>0.41666666666666669</v>
      </c>
      <c r="M3963" s="6" t="s">
        <v>4581</v>
      </c>
      <c r="N3963" s="14" t="s">
        <v>21</v>
      </c>
      <c r="O3963" s="6" t="s">
        <v>22</v>
      </c>
    </row>
    <row r="3964" spans="1:15" hidden="1">
      <c r="A3964" s="6" t="s">
        <v>15</v>
      </c>
      <c r="B3964" s="6" t="str">
        <f>"FES1162692118"</f>
        <v>FES1162692118</v>
      </c>
      <c r="C3964" s="7">
        <v>43613</v>
      </c>
      <c r="D3964" s="6">
        <v>1</v>
      </c>
      <c r="E3964" s="6">
        <v>2170688503</v>
      </c>
      <c r="F3964" s="6" t="s">
        <v>16</v>
      </c>
      <c r="G3964" s="6" t="s">
        <v>17</v>
      </c>
      <c r="H3964" s="6" t="s">
        <v>59</v>
      </c>
      <c r="I3964" s="6" t="s">
        <v>23</v>
      </c>
      <c r="J3964" s="6" t="s">
        <v>106</v>
      </c>
      <c r="K3964" s="7">
        <v>43614</v>
      </c>
      <c r="L3964" s="8">
        <v>0.4375</v>
      </c>
      <c r="M3964" s="6" t="s">
        <v>1082</v>
      </c>
      <c r="N3964" s="14" t="s">
        <v>21</v>
      </c>
      <c r="O3964" s="6" t="s">
        <v>22</v>
      </c>
    </row>
    <row r="3965" spans="1:15" hidden="1">
      <c r="A3965" t="s">
        <v>15</v>
      </c>
      <c r="B3965" t="str">
        <f>"FES1162692192"</f>
        <v>FES1162692192</v>
      </c>
      <c r="C3965" s="9">
        <v>43613</v>
      </c>
      <c r="D3965">
        <v>1</v>
      </c>
      <c r="E3965">
        <v>2170690535</v>
      </c>
      <c r="F3965" t="s">
        <v>16</v>
      </c>
      <c r="G3965" t="s">
        <v>17</v>
      </c>
      <c r="H3965" t="s">
        <v>1055</v>
      </c>
      <c r="I3965" t="s">
        <v>2050</v>
      </c>
      <c r="J3965" t="s">
        <v>2051</v>
      </c>
      <c r="K3965" s="9">
        <v>43614</v>
      </c>
      <c r="L3965" s="10">
        <v>0.375</v>
      </c>
      <c r="M3965" t="s">
        <v>4582</v>
      </c>
      <c r="N3965" t="s">
        <v>4583</v>
      </c>
      <c r="O3965" t="s">
        <v>22</v>
      </c>
    </row>
    <row r="3966" spans="1:15">
      <c r="A3966" s="6" t="s">
        <v>15</v>
      </c>
      <c r="B3966" s="6" t="str">
        <f>"FES1162692190"</f>
        <v>FES1162692190</v>
      </c>
      <c r="C3966" s="7">
        <v>43613</v>
      </c>
      <c r="D3966" s="6">
        <v>1</v>
      </c>
      <c r="E3966" s="6">
        <v>2170690534</v>
      </c>
      <c r="F3966" s="6" t="s">
        <v>16</v>
      </c>
      <c r="G3966" s="6" t="s">
        <v>17</v>
      </c>
      <c r="H3966" s="6" t="s">
        <v>17</v>
      </c>
      <c r="I3966" s="6" t="s">
        <v>26</v>
      </c>
      <c r="J3966" s="6" t="s">
        <v>567</v>
      </c>
      <c r="K3966" s="40">
        <v>43614</v>
      </c>
      <c r="L3966" s="41">
        <v>0.375</v>
      </c>
      <c r="M3966" s="6" t="s">
        <v>4584</v>
      </c>
      <c r="N3966" s="6" t="s">
        <v>21</v>
      </c>
      <c r="O3966" s="6" t="s">
        <v>22</v>
      </c>
    </row>
    <row r="3967" spans="1:15">
      <c r="A3967" s="6" t="s">
        <v>15</v>
      </c>
      <c r="B3967" s="6" t="str">
        <f>"FES1162692188"</f>
        <v>FES1162692188</v>
      </c>
      <c r="C3967" s="7">
        <v>43613</v>
      </c>
      <c r="D3967" s="6">
        <v>1</v>
      </c>
      <c r="E3967" s="6">
        <v>21706890532</v>
      </c>
      <c r="F3967" s="6" t="s">
        <v>16</v>
      </c>
      <c r="G3967" s="6" t="s">
        <v>17</v>
      </c>
      <c r="H3967" s="6" t="s">
        <v>17</v>
      </c>
      <c r="I3967" s="6" t="s">
        <v>18</v>
      </c>
      <c r="J3967" s="6" t="s">
        <v>19</v>
      </c>
      <c r="K3967" s="7">
        <v>43614</v>
      </c>
      <c r="L3967" s="8">
        <v>0.35138888888888892</v>
      </c>
      <c r="M3967" s="6" t="s">
        <v>2039</v>
      </c>
      <c r="N3967" s="14" t="s">
        <v>21</v>
      </c>
      <c r="O3967" s="6" t="s">
        <v>22</v>
      </c>
    </row>
    <row r="3968" spans="1:15">
      <c r="A3968" s="6" t="s">
        <v>15</v>
      </c>
      <c r="B3968" s="6" t="str">
        <f>"FES1162692209"</f>
        <v>FES1162692209</v>
      </c>
      <c r="C3968" s="7">
        <v>43613</v>
      </c>
      <c r="D3968" s="6">
        <v>1</v>
      </c>
      <c r="E3968" s="6">
        <v>21706890547</v>
      </c>
      <c r="F3968" s="6" t="s">
        <v>16</v>
      </c>
      <c r="G3968" s="6" t="s">
        <v>17</v>
      </c>
      <c r="H3968" s="6" t="s">
        <v>17</v>
      </c>
      <c r="I3968" s="6" t="s">
        <v>23</v>
      </c>
      <c r="J3968" s="6" t="s">
        <v>4585</v>
      </c>
      <c r="K3968" s="7">
        <v>43614</v>
      </c>
      <c r="L3968" s="8">
        <v>0.30694444444444441</v>
      </c>
      <c r="M3968" s="6" t="s">
        <v>147</v>
      </c>
      <c r="N3968" s="14" t="s">
        <v>21</v>
      </c>
      <c r="O3968" s="6" t="s">
        <v>22</v>
      </c>
    </row>
    <row r="3969" spans="1:15">
      <c r="A3969" s="6" t="s">
        <v>15</v>
      </c>
      <c r="B3969" s="6" t="str">
        <f>"FES1162692195"</f>
        <v>FES1162692195</v>
      </c>
      <c r="C3969" s="7">
        <v>43613</v>
      </c>
      <c r="D3969" s="6">
        <v>1</v>
      </c>
      <c r="E3969" s="6">
        <v>2170690539</v>
      </c>
      <c r="F3969" s="6" t="s">
        <v>16</v>
      </c>
      <c r="G3969" s="6" t="s">
        <v>17</v>
      </c>
      <c r="H3969" s="6" t="s">
        <v>17</v>
      </c>
      <c r="I3969" s="6" t="s">
        <v>18</v>
      </c>
      <c r="J3969" s="6" t="s">
        <v>19</v>
      </c>
      <c r="K3969" s="7">
        <v>43614</v>
      </c>
      <c r="L3969" s="8">
        <v>0.35069444444444442</v>
      </c>
      <c r="M3969" s="6" t="s">
        <v>2039</v>
      </c>
      <c r="N3969" s="14" t="s">
        <v>21</v>
      </c>
      <c r="O3969" s="6" t="s">
        <v>22</v>
      </c>
    </row>
    <row r="3970" spans="1:15">
      <c r="A3970" s="6" t="s">
        <v>15</v>
      </c>
      <c r="B3970" s="6" t="str">
        <f>"FES1162692200"</f>
        <v>FES1162692200</v>
      </c>
      <c r="C3970" s="7">
        <v>43613</v>
      </c>
      <c r="D3970" s="6">
        <v>1</v>
      </c>
      <c r="E3970" s="6">
        <v>2170690409</v>
      </c>
      <c r="F3970" s="6" t="s">
        <v>16</v>
      </c>
      <c r="G3970" s="6" t="s">
        <v>17</v>
      </c>
      <c r="H3970" s="6" t="s">
        <v>17</v>
      </c>
      <c r="I3970" s="6" t="s">
        <v>64</v>
      </c>
      <c r="J3970" s="6" t="s">
        <v>2778</v>
      </c>
      <c r="K3970" s="7">
        <v>43614</v>
      </c>
      <c r="L3970" s="8">
        <v>0.42083333333333334</v>
      </c>
      <c r="M3970" s="6" t="s">
        <v>4295</v>
      </c>
      <c r="N3970" s="14" t="s">
        <v>21</v>
      </c>
      <c r="O3970" s="6" t="s">
        <v>22</v>
      </c>
    </row>
    <row r="3971" spans="1:15">
      <c r="A3971" s="6" t="s">
        <v>15</v>
      </c>
      <c r="B3971" s="6" t="str">
        <f>"FES1162692189"</f>
        <v>FES1162692189</v>
      </c>
      <c r="C3971" s="7">
        <v>43613</v>
      </c>
      <c r="D3971" s="6">
        <v>1</v>
      </c>
      <c r="E3971" s="6">
        <v>2170690533</v>
      </c>
      <c r="F3971" s="6" t="s">
        <v>16</v>
      </c>
      <c r="G3971" s="6" t="s">
        <v>17</v>
      </c>
      <c r="H3971" s="6" t="s">
        <v>17</v>
      </c>
      <c r="I3971" s="6" t="s">
        <v>18</v>
      </c>
      <c r="J3971" s="6" t="s">
        <v>4586</v>
      </c>
      <c r="K3971" s="7">
        <v>43614</v>
      </c>
      <c r="L3971" s="8">
        <v>0.31666666666666665</v>
      </c>
      <c r="M3971" s="6" t="s">
        <v>4587</v>
      </c>
      <c r="N3971" s="14" t="s">
        <v>21</v>
      </c>
      <c r="O3971" s="6" t="s">
        <v>22</v>
      </c>
    </row>
    <row r="3972" spans="1:15" hidden="1">
      <c r="A3972" t="s">
        <v>15</v>
      </c>
      <c r="B3972" t="str">
        <f>"FES1162692226"</f>
        <v>FES1162692226</v>
      </c>
      <c r="C3972" s="9">
        <v>43613</v>
      </c>
      <c r="D3972">
        <v>1</v>
      </c>
      <c r="E3972">
        <v>2170690572</v>
      </c>
      <c r="F3972" t="s">
        <v>16</v>
      </c>
      <c r="G3972" t="s">
        <v>17</v>
      </c>
      <c r="H3972" t="s">
        <v>43</v>
      </c>
      <c r="I3972" t="s">
        <v>44</v>
      </c>
      <c r="J3972" t="s">
        <v>1527</v>
      </c>
      <c r="K3972" s="9">
        <v>43614</v>
      </c>
      <c r="L3972" s="10">
        <v>0.37222222222222223</v>
      </c>
      <c r="M3972" t="s">
        <v>656</v>
      </c>
      <c r="N3972" t="s">
        <v>4588</v>
      </c>
      <c r="O3972" t="s">
        <v>22</v>
      </c>
    </row>
    <row r="3973" spans="1:15" hidden="1">
      <c r="A3973" t="s">
        <v>15</v>
      </c>
      <c r="B3973" t="str">
        <f>"FES1162692173"</f>
        <v>FES1162692173</v>
      </c>
      <c r="C3973" s="9">
        <v>43613</v>
      </c>
      <c r="D3973">
        <v>1</v>
      </c>
      <c r="E3973">
        <v>2170690518</v>
      </c>
      <c r="F3973" t="s">
        <v>16</v>
      </c>
      <c r="G3973" t="s">
        <v>17</v>
      </c>
      <c r="H3973" t="s">
        <v>43</v>
      </c>
      <c r="I3973" t="s">
        <v>75</v>
      </c>
      <c r="J3973" t="s">
        <v>553</v>
      </c>
      <c r="K3973" s="9">
        <v>43614</v>
      </c>
      <c r="L3973" s="10">
        <v>0.41875000000000001</v>
      </c>
      <c r="M3973" t="s">
        <v>4589</v>
      </c>
      <c r="N3973" t="s">
        <v>4590</v>
      </c>
      <c r="O3973" t="s">
        <v>22</v>
      </c>
    </row>
    <row r="3974" spans="1:15" hidden="1">
      <c r="A3974" t="s">
        <v>15</v>
      </c>
      <c r="B3974" t="str">
        <f>"FES1162692113"</f>
        <v>FES1162692113</v>
      </c>
      <c r="C3974" s="9">
        <v>43613</v>
      </c>
      <c r="D3974">
        <v>1</v>
      </c>
      <c r="E3974">
        <v>2170688253</v>
      </c>
      <c r="F3974" t="s">
        <v>16</v>
      </c>
      <c r="G3974" t="s">
        <v>17</v>
      </c>
      <c r="H3974" t="s">
        <v>43</v>
      </c>
      <c r="I3974" t="s">
        <v>54</v>
      </c>
      <c r="J3974" t="s">
        <v>216</v>
      </c>
      <c r="K3974" s="9">
        <v>43614</v>
      </c>
      <c r="L3974" s="10">
        <v>0.36874999999999997</v>
      </c>
      <c r="M3974" t="s">
        <v>1445</v>
      </c>
      <c r="N3974" t="s">
        <v>4591</v>
      </c>
      <c r="O3974" t="s">
        <v>22</v>
      </c>
    </row>
    <row r="3975" spans="1:15" hidden="1">
      <c r="A3975" t="s">
        <v>15</v>
      </c>
      <c r="B3975" t="str">
        <f>"FES1162692186"</f>
        <v>FES1162692186</v>
      </c>
      <c r="C3975" s="9">
        <v>43613</v>
      </c>
      <c r="D3975">
        <v>1</v>
      </c>
      <c r="E3975">
        <v>2170690526</v>
      </c>
      <c r="F3975" t="s">
        <v>16</v>
      </c>
      <c r="G3975" t="s">
        <v>17</v>
      </c>
      <c r="H3975" t="s">
        <v>43</v>
      </c>
      <c r="I3975" t="s">
        <v>44</v>
      </c>
      <c r="J3975" t="s">
        <v>45</v>
      </c>
      <c r="K3975" s="9">
        <v>43614</v>
      </c>
      <c r="L3975" s="10">
        <v>0.35555555555555557</v>
      </c>
      <c r="M3975" t="s">
        <v>4592</v>
      </c>
      <c r="N3975" t="s">
        <v>4593</v>
      </c>
      <c r="O3975" t="s">
        <v>22</v>
      </c>
    </row>
    <row r="3976" spans="1:15" hidden="1">
      <c r="A3976" t="s">
        <v>15</v>
      </c>
      <c r="B3976" t="str">
        <f>"FES1162692112"</f>
        <v>FES1162692112</v>
      </c>
      <c r="C3976" s="9">
        <v>43613</v>
      </c>
      <c r="D3976">
        <v>1</v>
      </c>
      <c r="E3976">
        <v>2170688165</v>
      </c>
      <c r="F3976" t="s">
        <v>16</v>
      </c>
      <c r="G3976" t="s">
        <v>17</v>
      </c>
      <c r="H3976" t="s">
        <v>43</v>
      </c>
      <c r="I3976" t="s">
        <v>60</v>
      </c>
      <c r="J3976" t="s">
        <v>409</v>
      </c>
      <c r="K3976" t="s">
        <v>1730</v>
      </c>
      <c r="L3976"/>
      <c r="M3976" t="s">
        <v>1731</v>
      </c>
      <c r="N3976" t="s">
        <v>4546</v>
      </c>
      <c r="O3976" t="s">
        <v>22</v>
      </c>
    </row>
    <row r="3977" spans="1:15" hidden="1">
      <c r="A3977" t="s">
        <v>15</v>
      </c>
      <c r="B3977" t="str">
        <f>"FES1162692248"</f>
        <v>FES1162692248</v>
      </c>
      <c r="C3977" s="9">
        <v>43613</v>
      </c>
      <c r="D3977">
        <v>1</v>
      </c>
      <c r="E3977">
        <v>2170690581</v>
      </c>
      <c r="F3977" t="s">
        <v>16</v>
      </c>
      <c r="G3977" t="s">
        <v>17</v>
      </c>
      <c r="H3977" t="s">
        <v>43</v>
      </c>
      <c r="I3977" t="s">
        <v>44</v>
      </c>
      <c r="J3977" t="s">
        <v>3770</v>
      </c>
      <c r="K3977" s="9">
        <v>43614</v>
      </c>
      <c r="L3977" s="10">
        <v>0.40416666666666662</v>
      </c>
      <c r="M3977" t="s">
        <v>4594</v>
      </c>
      <c r="N3977" t="s">
        <v>4595</v>
      </c>
      <c r="O3977" t="s">
        <v>22</v>
      </c>
    </row>
    <row r="3978" spans="1:15">
      <c r="A3978" s="6" t="s">
        <v>15</v>
      </c>
      <c r="B3978" s="6" t="str">
        <f>"FES1162692116"</f>
        <v>FES1162692116</v>
      </c>
      <c r="C3978" s="7">
        <v>43613</v>
      </c>
      <c r="D3978" s="6">
        <v>1</v>
      </c>
      <c r="E3978" s="6">
        <v>2170688685</v>
      </c>
      <c r="F3978" s="6" t="s">
        <v>16</v>
      </c>
      <c r="G3978" s="6" t="s">
        <v>17</v>
      </c>
      <c r="H3978" s="6" t="s">
        <v>17</v>
      </c>
      <c r="I3978" s="6" t="s">
        <v>610</v>
      </c>
      <c r="J3978" s="6" t="s">
        <v>2046</v>
      </c>
      <c r="K3978" s="7">
        <v>43614</v>
      </c>
      <c r="L3978" s="8">
        <v>0.33333333333333331</v>
      </c>
      <c r="M3978" s="6" t="s">
        <v>4596</v>
      </c>
      <c r="N3978" s="14" t="s">
        <v>21</v>
      </c>
      <c r="O3978" s="6" t="s">
        <v>22</v>
      </c>
    </row>
    <row r="3979" spans="1:15" hidden="1">
      <c r="A3979" t="s">
        <v>15</v>
      </c>
      <c r="B3979" t="str">
        <f>"FES1162692224"</f>
        <v>FES1162692224</v>
      </c>
      <c r="C3979" s="9">
        <v>43613</v>
      </c>
      <c r="D3979">
        <v>1</v>
      </c>
      <c r="E3979">
        <v>2170690570</v>
      </c>
      <c r="F3979" t="s">
        <v>16</v>
      </c>
      <c r="G3979" t="s">
        <v>17</v>
      </c>
      <c r="H3979" t="s">
        <v>43</v>
      </c>
      <c r="I3979" t="s">
        <v>44</v>
      </c>
      <c r="J3979" t="s">
        <v>748</v>
      </c>
      <c r="K3979" s="9">
        <v>43614</v>
      </c>
      <c r="L3979" s="10">
        <v>0.41666666666666669</v>
      </c>
      <c r="M3979" t="s">
        <v>3834</v>
      </c>
      <c r="N3979" t="s">
        <v>4597</v>
      </c>
      <c r="O3979" t="s">
        <v>22</v>
      </c>
    </row>
    <row r="3980" spans="1:15" hidden="1">
      <c r="A3980" t="s">
        <v>15</v>
      </c>
      <c r="B3980" t="str">
        <f>"FES1162692218"</f>
        <v>FES1162692218</v>
      </c>
      <c r="C3980" s="9">
        <v>43613</v>
      </c>
      <c r="D3980">
        <v>1</v>
      </c>
      <c r="E3980">
        <v>2170690558</v>
      </c>
      <c r="F3980" t="s">
        <v>16</v>
      </c>
      <c r="G3980" t="s">
        <v>17</v>
      </c>
      <c r="H3980" t="s">
        <v>43</v>
      </c>
      <c r="I3980" t="s">
        <v>44</v>
      </c>
      <c r="J3980" t="s">
        <v>1284</v>
      </c>
      <c r="K3980" t="s">
        <v>1730</v>
      </c>
      <c r="L3980"/>
      <c r="M3980" t="s">
        <v>1731</v>
      </c>
      <c r="N3980" t="s">
        <v>4598</v>
      </c>
      <c r="O3980" t="s">
        <v>22</v>
      </c>
    </row>
    <row r="3981" spans="1:15" hidden="1">
      <c r="A3981" t="s">
        <v>15</v>
      </c>
      <c r="B3981" t="str">
        <f>"FES1162692206"</f>
        <v>FES1162692206</v>
      </c>
      <c r="C3981" s="9">
        <v>43613</v>
      </c>
      <c r="D3981">
        <v>1</v>
      </c>
      <c r="E3981">
        <v>2170690546</v>
      </c>
      <c r="F3981" t="s">
        <v>16</v>
      </c>
      <c r="G3981" t="s">
        <v>17</v>
      </c>
      <c r="H3981" t="s">
        <v>43</v>
      </c>
      <c r="I3981" t="s">
        <v>75</v>
      </c>
      <c r="J3981" t="s">
        <v>811</v>
      </c>
      <c r="K3981" s="9">
        <v>43614</v>
      </c>
      <c r="L3981" s="10">
        <v>0.50069444444444444</v>
      </c>
      <c r="M3981" t="s">
        <v>1167</v>
      </c>
      <c r="N3981" t="s">
        <v>4599</v>
      </c>
      <c r="O3981" t="s">
        <v>22</v>
      </c>
    </row>
    <row r="3982" spans="1:15" hidden="1">
      <c r="A3982" t="s">
        <v>15</v>
      </c>
      <c r="B3982" t="str">
        <f>"FES1162692139"</f>
        <v>FES1162692139</v>
      </c>
      <c r="C3982" s="9">
        <v>43613</v>
      </c>
      <c r="D3982">
        <v>1</v>
      </c>
      <c r="E3982">
        <v>2170689634</v>
      </c>
      <c r="F3982" t="s">
        <v>16</v>
      </c>
      <c r="G3982" t="s">
        <v>17</v>
      </c>
      <c r="H3982" t="s">
        <v>32</v>
      </c>
      <c r="I3982" t="s">
        <v>33</v>
      </c>
      <c r="J3982" t="s">
        <v>34</v>
      </c>
      <c r="K3982" s="9">
        <v>43614</v>
      </c>
      <c r="L3982" s="10">
        <v>0.3263888888888889</v>
      </c>
      <c r="M3982" t="s">
        <v>35</v>
      </c>
      <c r="N3982" t="s">
        <v>4600</v>
      </c>
      <c r="O3982" t="s">
        <v>22</v>
      </c>
    </row>
    <row r="3983" spans="1:15" hidden="1">
      <c r="A3983" t="s">
        <v>15</v>
      </c>
      <c r="B3983" t="str">
        <f>"FES1162692140"</f>
        <v>FES1162692140</v>
      </c>
      <c r="C3983" s="9">
        <v>43613</v>
      </c>
      <c r="D3983">
        <v>1</v>
      </c>
      <c r="E3983">
        <v>217068953</v>
      </c>
      <c r="F3983" t="s">
        <v>16</v>
      </c>
      <c r="G3983" t="s">
        <v>17</v>
      </c>
      <c r="H3983" t="s">
        <v>32</v>
      </c>
      <c r="I3983" t="s">
        <v>33</v>
      </c>
      <c r="J3983" t="s">
        <v>790</v>
      </c>
      <c r="K3983" s="9">
        <v>43614</v>
      </c>
      <c r="L3983" s="10">
        <v>0.37847222222222227</v>
      </c>
      <c r="M3983" t="s">
        <v>4601</v>
      </c>
      <c r="N3983" t="s">
        <v>4602</v>
      </c>
      <c r="O3983" t="s">
        <v>22</v>
      </c>
    </row>
    <row r="3984" spans="1:15" hidden="1">
      <c r="A3984" t="s">
        <v>15</v>
      </c>
      <c r="B3984" t="str">
        <f>"FES116292254"</f>
        <v>FES116292254</v>
      </c>
      <c r="C3984" s="9">
        <v>43613</v>
      </c>
      <c r="D3984">
        <v>1</v>
      </c>
      <c r="E3984">
        <v>2170690588</v>
      </c>
      <c r="F3984" t="s">
        <v>16</v>
      </c>
      <c r="G3984" t="s">
        <v>17</v>
      </c>
      <c r="H3984" t="s">
        <v>43</v>
      </c>
      <c r="I3984" t="s">
        <v>60</v>
      </c>
      <c r="J3984" t="s">
        <v>242</v>
      </c>
      <c r="K3984" t="s">
        <v>1730</v>
      </c>
      <c r="L3984"/>
      <c r="M3984" t="s">
        <v>1731</v>
      </c>
      <c r="N3984" t="s">
        <v>4546</v>
      </c>
      <c r="O3984" t="s">
        <v>22</v>
      </c>
    </row>
    <row r="3985" spans="1:15" hidden="1">
      <c r="A3985" t="s">
        <v>15</v>
      </c>
      <c r="B3985" t="str">
        <f>"FES1162692127"</f>
        <v>FES1162692127</v>
      </c>
      <c r="C3985" s="9">
        <v>43613</v>
      </c>
      <c r="D3985">
        <v>1</v>
      </c>
      <c r="E3985">
        <v>217069163</v>
      </c>
      <c r="F3985" t="s">
        <v>16</v>
      </c>
      <c r="G3985" t="s">
        <v>17</v>
      </c>
      <c r="H3985" t="s">
        <v>32</v>
      </c>
      <c r="I3985" t="s">
        <v>33</v>
      </c>
      <c r="J3985" t="s">
        <v>4603</v>
      </c>
      <c r="K3985" s="9">
        <v>43614</v>
      </c>
      <c r="L3985" s="10">
        <v>0.3923611111111111</v>
      </c>
      <c r="M3985" t="s">
        <v>4604</v>
      </c>
      <c r="N3985" t="s">
        <v>4605</v>
      </c>
      <c r="O3985" t="s">
        <v>22</v>
      </c>
    </row>
    <row r="3986" spans="1:15" hidden="1">
      <c r="A3986" t="s">
        <v>15</v>
      </c>
      <c r="B3986" t="str">
        <f>"FES1162692164"</f>
        <v>FES1162692164</v>
      </c>
      <c r="C3986" s="9">
        <v>43613</v>
      </c>
      <c r="D3986">
        <v>1</v>
      </c>
      <c r="E3986">
        <v>217069508</v>
      </c>
      <c r="F3986" t="s">
        <v>16</v>
      </c>
      <c r="G3986" t="s">
        <v>17</v>
      </c>
      <c r="H3986" t="s">
        <v>32</v>
      </c>
      <c r="I3986" t="s">
        <v>4606</v>
      </c>
      <c r="J3986" t="s">
        <v>4607</v>
      </c>
      <c r="K3986" t="s">
        <v>1730</v>
      </c>
      <c r="L3986"/>
      <c r="M3986" t="s">
        <v>1731</v>
      </c>
      <c r="N3986" t="s">
        <v>4608</v>
      </c>
      <c r="O3986" t="s">
        <v>22</v>
      </c>
    </row>
    <row r="3987" spans="1:15" hidden="1">
      <c r="A3987" t="s">
        <v>15</v>
      </c>
      <c r="B3987" t="str">
        <f>"FES1162692236"</f>
        <v>FES1162692236</v>
      </c>
      <c r="C3987" s="9">
        <v>43613</v>
      </c>
      <c r="D3987">
        <v>1</v>
      </c>
      <c r="E3987">
        <v>2170687152</v>
      </c>
      <c r="F3987" t="s">
        <v>16</v>
      </c>
      <c r="G3987" t="s">
        <v>17</v>
      </c>
      <c r="H3987" t="s">
        <v>43</v>
      </c>
      <c r="I3987" t="s">
        <v>44</v>
      </c>
      <c r="J3987" t="s">
        <v>4609</v>
      </c>
      <c r="K3987" s="9">
        <v>43614</v>
      </c>
      <c r="L3987" s="10">
        <v>0.38541666666666669</v>
      </c>
      <c r="M3987" t="s">
        <v>4610</v>
      </c>
      <c r="N3987" t="s">
        <v>4611</v>
      </c>
      <c r="O3987" t="s">
        <v>22</v>
      </c>
    </row>
    <row r="3988" spans="1:15" hidden="1">
      <c r="A3988" t="s">
        <v>15</v>
      </c>
      <c r="B3988" t="str">
        <f>"FES1162692108"</f>
        <v>FES1162692108</v>
      </c>
      <c r="C3988" s="9">
        <v>43613</v>
      </c>
      <c r="D3988">
        <v>1</v>
      </c>
      <c r="E3988">
        <v>2170686443</v>
      </c>
      <c r="F3988" t="s">
        <v>16</v>
      </c>
      <c r="G3988" t="s">
        <v>17</v>
      </c>
      <c r="H3988" t="s">
        <v>32</v>
      </c>
      <c r="I3988" t="s">
        <v>342</v>
      </c>
      <c r="J3988" t="s">
        <v>1340</v>
      </c>
      <c r="K3988" s="9">
        <v>43614</v>
      </c>
      <c r="L3988" s="10">
        <v>0.40972222222222227</v>
      </c>
      <c r="M3988" t="s">
        <v>3480</v>
      </c>
      <c r="N3988" t="s">
        <v>4612</v>
      </c>
      <c r="O3988" t="s">
        <v>22</v>
      </c>
    </row>
    <row r="3989" spans="1:15" hidden="1">
      <c r="A3989" t="s">
        <v>15</v>
      </c>
      <c r="B3989" t="str">
        <f>"FES1162692149"</f>
        <v>FES1162692149</v>
      </c>
      <c r="C3989" s="9">
        <v>43613</v>
      </c>
      <c r="D3989">
        <v>1</v>
      </c>
      <c r="E3989">
        <v>2170690020</v>
      </c>
      <c r="F3989" t="s">
        <v>16</v>
      </c>
      <c r="G3989" t="s">
        <v>17</v>
      </c>
      <c r="H3989" t="s">
        <v>32</v>
      </c>
      <c r="I3989" t="s">
        <v>269</v>
      </c>
      <c r="J3989" t="s">
        <v>609</v>
      </c>
      <c r="K3989" s="9">
        <v>43614</v>
      </c>
      <c r="L3989" s="10">
        <v>0.40972222222222227</v>
      </c>
      <c r="M3989" t="s">
        <v>757</v>
      </c>
      <c r="N3989" t="s">
        <v>4613</v>
      </c>
      <c r="O3989" t="s">
        <v>22</v>
      </c>
    </row>
    <row r="3990" spans="1:15" hidden="1">
      <c r="A3990" t="s">
        <v>15</v>
      </c>
      <c r="B3990" t="str">
        <f>"FES1162692134"</f>
        <v>FES1162692134</v>
      </c>
      <c r="C3990" s="9">
        <v>43613</v>
      </c>
      <c r="D3990">
        <v>1</v>
      </c>
      <c r="E3990">
        <v>2170689381</v>
      </c>
      <c r="F3990" t="s">
        <v>16</v>
      </c>
      <c r="G3990" t="s">
        <v>17</v>
      </c>
      <c r="H3990" t="s">
        <v>32</v>
      </c>
      <c r="I3990" t="s">
        <v>33</v>
      </c>
      <c r="J3990" t="s">
        <v>778</v>
      </c>
      <c r="K3990" s="9">
        <v>43614</v>
      </c>
      <c r="L3990" s="10">
        <v>0.40625</v>
      </c>
      <c r="M3990" t="s">
        <v>3244</v>
      </c>
      <c r="N3990" t="s">
        <v>4614</v>
      </c>
      <c r="O3990" t="s">
        <v>22</v>
      </c>
    </row>
    <row r="3991" spans="1:15">
      <c r="A3991" s="6" t="s">
        <v>15</v>
      </c>
      <c r="B3991" s="6" t="str">
        <f>"FES1162692262"</f>
        <v>FES1162692262</v>
      </c>
      <c r="C3991" s="7">
        <v>43613</v>
      </c>
      <c r="D3991" s="6">
        <v>1</v>
      </c>
      <c r="E3991" s="6">
        <v>2170695097</v>
      </c>
      <c r="F3991" s="6" t="s">
        <v>16</v>
      </c>
      <c r="G3991" s="6" t="s">
        <v>17</v>
      </c>
      <c r="H3991" s="6" t="s">
        <v>17</v>
      </c>
      <c r="I3991" s="6" t="s">
        <v>64</v>
      </c>
      <c r="J3991" s="6" t="s">
        <v>65</v>
      </c>
      <c r="K3991" s="7">
        <v>43614</v>
      </c>
      <c r="L3991" s="8">
        <v>0.33611111111111108</v>
      </c>
      <c r="M3991" s="6" t="s">
        <v>1643</v>
      </c>
      <c r="N3991" s="14" t="s">
        <v>21</v>
      </c>
      <c r="O3991" s="6" t="s">
        <v>22</v>
      </c>
    </row>
    <row r="3992" spans="1:15" hidden="1">
      <c r="A3992" t="s">
        <v>15</v>
      </c>
      <c r="B3992" t="str">
        <f>"FES1162692204"</f>
        <v>FES1162692204</v>
      </c>
      <c r="C3992" s="9">
        <v>43613</v>
      </c>
      <c r="D3992">
        <v>1</v>
      </c>
      <c r="E3992">
        <v>2170690543</v>
      </c>
      <c r="F3992" t="s">
        <v>16</v>
      </c>
      <c r="G3992" t="s">
        <v>17</v>
      </c>
      <c r="H3992" t="s">
        <v>32</v>
      </c>
      <c r="I3992" t="s">
        <v>33</v>
      </c>
      <c r="J3992" t="s">
        <v>2441</v>
      </c>
      <c r="K3992" s="9">
        <v>43614</v>
      </c>
      <c r="L3992" s="10">
        <v>0.36805555555555558</v>
      </c>
      <c r="M3992" t="s">
        <v>4615</v>
      </c>
      <c r="N3992" t="s">
        <v>4616</v>
      </c>
      <c r="O3992" t="s">
        <v>22</v>
      </c>
    </row>
    <row r="3993" spans="1:15" hidden="1">
      <c r="A3993" t="s">
        <v>15</v>
      </c>
      <c r="B3993" t="str">
        <f>"FES1162692240"</f>
        <v>FES1162692240</v>
      </c>
      <c r="C3993" s="9">
        <v>43613</v>
      </c>
      <c r="D3993">
        <v>1</v>
      </c>
      <c r="E3993">
        <v>2170687959</v>
      </c>
      <c r="F3993" t="s">
        <v>16</v>
      </c>
      <c r="G3993" t="s">
        <v>17</v>
      </c>
      <c r="H3993" t="s">
        <v>43</v>
      </c>
      <c r="I3993" t="s">
        <v>44</v>
      </c>
      <c r="J3993" t="s">
        <v>72</v>
      </c>
      <c r="K3993" s="9">
        <v>43614</v>
      </c>
      <c r="L3993" s="10">
        <v>0.4236111111111111</v>
      </c>
      <c r="M3993" t="s">
        <v>1100</v>
      </c>
      <c r="N3993" t="s">
        <v>4617</v>
      </c>
      <c r="O3993" t="s">
        <v>22</v>
      </c>
    </row>
    <row r="3994" spans="1:15" hidden="1">
      <c r="A3994" t="s">
        <v>15</v>
      </c>
      <c r="B3994" t="str">
        <f>"FES1162692232"</f>
        <v>FES1162692232</v>
      </c>
      <c r="C3994" s="9">
        <v>43613</v>
      </c>
      <c r="D3994">
        <v>1</v>
      </c>
      <c r="E3994">
        <v>2170685636</v>
      </c>
      <c r="F3994" t="s">
        <v>16</v>
      </c>
      <c r="G3994" t="s">
        <v>17</v>
      </c>
      <c r="H3994" t="s">
        <v>43</v>
      </c>
      <c r="I3994" t="s">
        <v>44</v>
      </c>
      <c r="J3994" t="s">
        <v>336</v>
      </c>
      <c r="K3994" s="9">
        <v>43614</v>
      </c>
      <c r="L3994" s="10">
        <v>0.38194444444444442</v>
      </c>
      <c r="M3994" t="s">
        <v>1676</v>
      </c>
      <c r="N3994" t="s">
        <v>4618</v>
      </c>
      <c r="O3994" t="s">
        <v>22</v>
      </c>
    </row>
    <row r="3995" spans="1:15" hidden="1">
      <c r="A3995" t="s">
        <v>15</v>
      </c>
      <c r="B3995" t="str">
        <f>"FES1162692129"</f>
        <v>FES1162692129</v>
      </c>
      <c r="C3995" s="9">
        <v>43613</v>
      </c>
      <c r="D3995">
        <v>1</v>
      </c>
      <c r="E3995">
        <v>2170698186</v>
      </c>
      <c r="F3995" t="s">
        <v>16</v>
      </c>
      <c r="G3995" t="s">
        <v>17</v>
      </c>
      <c r="H3995" t="s">
        <v>37</v>
      </c>
      <c r="I3995" t="s">
        <v>38</v>
      </c>
      <c r="J3995" t="s">
        <v>39</v>
      </c>
      <c r="K3995" s="9">
        <v>43614</v>
      </c>
      <c r="L3995" s="10">
        <v>0.37847222222222227</v>
      </c>
      <c r="M3995" t="s">
        <v>4619</v>
      </c>
      <c r="N3995" t="s">
        <v>4620</v>
      </c>
      <c r="O3995" t="s">
        <v>22</v>
      </c>
    </row>
    <row r="3996" spans="1:15" hidden="1">
      <c r="A3996" t="s">
        <v>15</v>
      </c>
      <c r="B3996" t="str">
        <f>"FES1162692249"</f>
        <v>FES1162692249</v>
      </c>
      <c r="C3996" s="9">
        <v>43613</v>
      </c>
      <c r="D3996">
        <v>1</v>
      </c>
      <c r="E3996">
        <v>2170690579</v>
      </c>
      <c r="F3996" t="s">
        <v>16</v>
      </c>
      <c r="G3996" t="s">
        <v>17</v>
      </c>
      <c r="H3996" t="s">
        <v>141</v>
      </c>
      <c r="I3996" t="s">
        <v>142</v>
      </c>
      <c r="J3996" t="s">
        <v>4621</v>
      </c>
      <c r="K3996" s="9">
        <v>43614</v>
      </c>
      <c r="L3996" s="10">
        <v>0.43402777777777773</v>
      </c>
      <c r="M3996" t="s">
        <v>1205</v>
      </c>
      <c r="N3996" t="s">
        <v>4622</v>
      </c>
      <c r="O3996" t="s">
        <v>22</v>
      </c>
    </row>
    <row r="3997" spans="1:15">
      <c r="A3997" s="6" t="s">
        <v>15</v>
      </c>
      <c r="B3997" s="6" t="str">
        <f>"FES1162692247"</f>
        <v>FES1162692247</v>
      </c>
      <c r="C3997" s="7">
        <v>43613</v>
      </c>
      <c r="D3997" s="6">
        <v>1</v>
      </c>
      <c r="E3997" s="6">
        <v>2170688170</v>
      </c>
      <c r="F3997" s="6" t="s">
        <v>16</v>
      </c>
      <c r="G3997" s="6" t="s">
        <v>17</v>
      </c>
      <c r="H3997" s="6" t="s">
        <v>17</v>
      </c>
      <c r="I3997" s="6" t="s">
        <v>64</v>
      </c>
      <c r="J3997" s="6" t="s">
        <v>1628</v>
      </c>
      <c r="K3997" s="7">
        <v>43614</v>
      </c>
      <c r="L3997" s="8">
        <v>0.36458333333333331</v>
      </c>
      <c r="M3997" s="6" t="s">
        <v>1629</v>
      </c>
      <c r="N3997" s="14" t="s">
        <v>21</v>
      </c>
      <c r="O3997" s="6" t="s">
        <v>22</v>
      </c>
    </row>
    <row r="3998" spans="1:15" hidden="1">
      <c r="A3998" t="s">
        <v>15</v>
      </c>
      <c r="B3998" t="str">
        <f>"FES1162692238"</f>
        <v>FES1162692238</v>
      </c>
      <c r="C3998" s="9">
        <v>43613</v>
      </c>
      <c r="D3998">
        <v>1</v>
      </c>
      <c r="E3998">
        <v>2170687373</v>
      </c>
      <c r="F3998" t="s">
        <v>16</v>
      </c>
      <c r="G3998" t="s">
        <v>17</v>
      </c>
      <c r="H3998" t="s">
        <v>43</v>
      </c>
      <c r="I3998" t="s">
        <v>44</v>
      </c>
      <c r="J3998" t="s">
        <v>236</v>
      </c>
      <c r="K3998" s="9">
        <v>43614</v>
      </c>
      <c r="L3998" s="10">
        <v>0.41666666666666669</v>
      </c>
      <c r="M3998" t="s">
        <v>2091</v>
      </c>
      <c r="N3998" t="s">
        <v>4623</v>
      </c>
      <c r="O3998" t="s">
        <v>22</v>
      </c>
    </row>
    <row r="3999" spans="1:15">
      <c r="A3999" s="6" t="s">
        <v>15</v>
      </c>
      <c r="B3999" s="6" t="str">
        <f>"FES1162692257"</f>
        <v>FES1162692257</v>
      </c>
      <c r="C3999" s="7">
        <v>43613</v>
      </c>
      <c r="D3999" s="6">
        <v>1</v>
      </c>
      <c r="E3999" s="6">
        <v>2170690590</v>
      </c>
      <c r="F3999" s="6" t="s">
        <v>16</v>
      </c>
      <c r="G3999" s="6" t="s">
        <v>17</v>
      </c>
      <c r="H3999" s="6" t="s">
        <v>17</v>
      </c>
      <c r="I3999" s="6" t="s">
        <v>610</v>
      </c>
      <c r="J3999" s="6" t="s">
        <v>611</v>
      </c>
      <c r="K3999" s="7">
        <v>43614</v>
      </c>
      <c r="L3999" s="8">
        <v>0.33333333333333331</v>
      </c>
      <c r="M3999" s="6" t="s">
        <v>100</v>
      </c>
      <c r="N3999" s="14" t="s">
        <v>21</v>
      </c>
      <c r="O3999" s="6" t="s">
        <v>22</v>
      </c>
    </row>
    <row r="4000" spans="1:15" hidden="1">
      <c r="A4000" t="s">
        <v>15</v>
      </c>
      <c r="B4000" t="str">
        <f>"FES1162692265"</f>
        <v>FES1162692265</v>
      </c>
      <c r="C4000" s="9">
        <v>43613</v>
      </c>
      <c r="D4000">
        <v>1</v>
      </c>
      <c r="E4000">
        <v>2170690601</v>
      </c>
      <c r="F4000" t="s">
        <v>16</v>
      </c>
      <c r="G4000" t="s">
        <v>17</v>
      </c>
      <c r="H4000" t="s">
        <v>43</v>
      </c>
      <c r="I4000" t="s">
        <v>44</v>
      </c>
      <c r="J4000" t="s">
        <v>3615</v>
      </c>
      <c r="K4000" s="9">
        <v>43614</v>
      </c>
      <c r="L4000" s="10">
        <v>0.37361111111111112</v>
      </c>
      <c r="M4000" t="s">
        <v>4624</v>
      </c>
      <c r="N4000" t="s">
        <v>4625</v>
      </c>
      <c r="O4000" t="s">
        <v>22</v>
      </c>
    </row>
    <row r="4001" spans="1:15" hidden="1">
      <c r="A4001" s="6" t="s">
        <v>15</v>
      </c>
      <c r="B4001" s="6" t="str">
        <f>"FES1162692258"</f>
        <v>FES1162692258</v>
      </c>
      <c r="C4001" s="7">
        <v>43613</v>
      </c>
      <c r="D4001" s="6">
        <v>1</v>
      </c>
      <c r="E4001" s="6">
        <v>2170690591</v>
      </c>
      <c r="F4001" s="6" t="s">
        <v>16</v>
      </c>
      <c r="G4001" s="6" t="s">
        <v>17</v>
      </c>
      <c r="H4001" s="6" t="s">
        <v>59</v>
      </c>
      <c r="I4001" s="6" t="s">
        <v>720</v>
      </c>
      <c r="J4001" s="6" t="s">
        <v>721</v>
      </c>
      <c r="K4001" s="7">
        <v>43614</v>
      </c>
      <c r="L4001" s="8">
        <v>0.49652777777777773</v>
      </c>
      <c r="M4001" s="6" t="s">
        <v>2378</v>
      </c>
      <c r="N4001" s="14" t="s">
        <v>21</v>
      </c>
      <c r="O4001" s="6" t="s">
        <v>22</v>
      </c>
    </row>
    <row r="4002" spans="1:15" hidden="1">
      <c r="A4002" t="s">
        <v>15</v>
      </c>
      <c r="B4002" t="str">
        <f>"FES1162692250"</f>
        <v>FES1162692250</v>
      </c>
      <c r="C4002" s="9">
        <v>43613</v>
      </c>
      <c r="D4002">
        <v>1</v>
      </c>
      <c r="E4002">
        <v>21706905823</v>
      </c>
      <c r="F4002" t="s">
        <v>16</v>
      </c>
      <c r="G4002" t="s">
        <v>17</v>
      </c>
      <c r="H4002" t="s">
        <v>290</v>
      </c>
      <c r="I4002" t="s">
        <v>291</v>
      </c>
      <c r="J4002" t="s">
        <v>1744</v>
      </c>
      <c r="K4002" s="9">
        <v>43614</v>
      </c>
      <c r="L4002" s="10">
        <v>0.34027777777777773</v>
      </c>
      <c r="M4002" t="s">
        <v>2556</v>
      </c>
      <c r="N4002" t="s">
        <v>4626</v>
      </c>
      <c r="O4002" t="s">
        <v>22</v>
      </c>
    </row>
    <row r="4003" spans="1:15" hidden="1">
      <c r="A4003" t="s">
        <v>15</v>
      </c>
      <c r="B4003" t="str">
        <f>"FES1162692234"</f>
        <v>FES1162692234</v>
      </c>
      <c r="C4003" s="9">
        <v>43613</v>
      </c>
      <c r="D4003">
        <v>1</v>
      </c>
      <c r="E4003">
        <v>2170685936</v>
      </c>
      <c r="F4003" t="s">
        <v>16</v>
      </c>
      <c r="G4003" t="s">
        <v>17</v>
      </c>
      <c r="H4003" t="s">
        <v>290</v>
      </c>
      <c r="I4003" t="s">
        <v>291</v>
      </c>
      <c r="J4003" t="s">
        <v>1835</v>
      </c>
      <c r="K4003" s="9">
        <v>43614</v>
      </c>
      <c r="L4003" s="10">
        <v>0.53472222222222221</v>
      </c>
      <c r="M4003" t="s">
        <v>4627</v>
      </c>
      <c r="N4003" t="s">
        <v>4628</v>
      </c>
      <c r="O4003" t="s">
        <v>22</v>
      </c>
    </row>
    <row r="4004" spans="1:15" hidden="1">
      <c r="A4004" t="s">
        <v>15</v>
      </c>
      <c r="B4004" t="str">
        <f>"FES1162692241"</f>
        <v>FES1162692241</v>
      </c>
      <c r="C4004" s="9">
        <v>43613</v>
      </c>
      <c r="D4004">
        <v>1</v>
      </c>
      <c r="E4004">
        <v>2170688169</v>
      </c>
      <c r="F4004" t="s">
        <v>16</v>
      </c>
      <c r="G4004" t="s">
        <v>17</v>
      </c>
      <c r="H4004" t="s">
        <v>290</v>
      </c>
      <c r="I4004" t="s">
        <v>291</v>
      </c>
      <c r="J4004" t="s">
        <v>4629</v>
      </c>
      <c r="K4004" t="s">
        <v>1730</v>
      </c>
      <c r="L4004"/>
      <c r="M4004" t="s">
        <v>1731</v>
      </c>
      <c r="N4004" t="s">
        <v>4630</v>
      </c>
      <c r="O4004" t="s">
        <v>22</v>
      </c>
    </row>
    <row r="4005" spans="1:15" hidden="1">
      <c r="A4005" t="s">
        <v>15</v>
      </c>
      <c r="B4005" t="str">
        <f>"FES1162692220"</f>
        <v>FES1162692220</v>
      </c>
      <c r="C4005" s="9">
        <v>43613</v>
      </c>
      <c r="D4005">
        <v>1</v>
      </c>
      <c r="E4005">
        <v>2170690564</v>
      </c>
      <c r="F4005" t="s">
        <v>16</v>
      </c>
      <c r="G4005" t="s">
        <v>17</v>
      </c>
      <c r="H4005" t="s">
        <v>290</v>
      </c>
      <c r="I4005" t="s">
        <v>291</v>
      </c>
      <c r="J4005" t="s">
        <v>1030</v>
      </c>
      <c r="K4005" s="9">
        <v>43614</v>
      </c>
      <c r="L4005" s="10">
        <v>0.33333333333333331</v>
      </c>
      <c r="M4005" t="s">
        <v>2751</v>
      </c>
      <c r="N4005" t="s">
        <v>4631</v>
      </c>
      <c r="O4005" t="s">
        <v>22</v>
      </c>
    </row>
    <row r="4006" spans="1:15" hidden="1">
      <c r="A4006" t="s">
        <v>15</v>
      </c>
      <c r="B4006" t="str">
        <f>"FES1162692263"</f>
        <v>FES1162692263</v>
      </c>
      <c r="C4006" s="9">
        <v>43613</v>
      </c>
      <c r="D4006">
        <v>1</v>
      </c>
      <c r="E4006">
        <v>2170690598</v>
      </c>
      <c r="F4006" t="s">
        <v>16</v>
      </c>
      <c r="G4006" t="s">
        <v>17</v>
      </c>
      <c r="H4006" t="s">
        <v>290</v>
      </c>
      <c r="I4006" t="s">
        <v>291</v>
      </c>
      <c r="J4006" t="s">
        <v>297</v>
      </c>
      <c r="K4006" s="9">
        <v>43614</v>
      </c>
      <c r="L4006" s="10">
        <v>0.39374999999999999</v>
      </c>
      <c r="M4006" t="s">
        <v>298</v>
      </c>
      <c r="N4006" t="s">
        <v>4632</v>
      </c>
      <c r="O4006" t="s">
        <v>22</v>
      </c>
    </row>
    <row r="4007" spans="1:15" hidden="1">
      <c r="A4007" t="s">
        <v>15</v>
      </c>
      <c r="B4007" t="str">
        <f>"FES1162692135"</f>
        <v>FES1162692135</v>
      </c>
      <c r="C4007" s="9">
        <v>43613</v>
      </c>
      <c r="D4007">
        <v>1</v>
      </c>
      <c r="E4007">
        <v>2170689398</v>
      </c>
      <c r="F4007" t="s">
        <v>16</v>
      </c>
      <c r="G4007" t="s">
        <v>17</v>
      </c>
      <c r="H4007" t="s">
        <v>32</v>
      </c>
      <c r="I4007" t="s">
        <v>269</v>
      </c>
      <c r="J4007" t="s">
        <v>683</v>
      </c>
      <c r="K4007" s="9">
        <v>43614</v>
      </c>
      <c r="L4007" s="10">
        <v>0.40277777777777773</v>
      </c>
      <c r="M4007" t="s">
        <v>684</v>
      </c>
      <c r="N4007" t="s">
        <v>4633</v>
      </c>
      <c r="O4007" t="s">
        <v>22</v>
      </c>
    </row>
    <row r="4008" spans="1:15" hidden="1">
      <c r="A4008" t="s">
        <v>15</v>
      </c>
      <c r="B4008" t="str">
        <f>"FES1162692243"</f>
        <v>FES1162692243</v>
      </c>
      <c r="C4008" s="9">
        <v>43613</v>
      </c>
      <c r="D4008">
        <v>2</v>
      </c>
      <c r="E4008">
        <v>2170688656</v>
      </c>
      <c r="F4008" t="s">
        <v>16</v>
      </c>
      <c r="G4008" t="s">
        <v>17</v>
      </c>
      <c r="H4008" t="s">
        <v>37</v>
      </c>
      <c r="I4008" t="s">
        <v>38</v>
      </c>
      <c r="J4008" t="s">
        <v>387</v>
      </c>
      <c r="K4008" s="9">
        <v>43614</v>
      </c>
      <c r="L4008" s="10">
        <v>0.40277777777777773</v>
      </c>
      <c r="M4008" t="s">
        <v>1519</v>
      </c>
      <c r="N4008" t="s">
        <v>4634</v>
      </c>
      <c r="O4008" t="s">
        <v>22</v>
      </c>
    </row>
    <row r="4009" spans="1:15">
      <c r="A4009" s="6" t="s">
        <v>15</v>
      </c>
      <c r="B4009" s="6" t="str">
        <f>"FES1162692242"</f>
        <v>FES1162692242</v>
      </c>
      <c r="C4009" s="7">
        <v>43613</v>
      </c>
      <c r="D4009" s="6">
        <v>1</v>
      </c>
      <c r="E4009" s="6">
        <v>2170688439</v>
      </c>
      <c r="F4009" s="6" t="s">
        <v>16</v>
      </c>
      <c r="G4009" s="6" t="s">
        <v>17</v>
      </c>
      <c r="H4009" s="6" t="s">
        <v>17</v>
      </c>
      <c r="I4009" s="6" t="s">
        <v>103</v>
      </c>
      <c r="J4009" s="6" t="s">
        <v>3037</v>
      </c>
      <c r="K4009" s="7">
        <v>43614</v>
      </c>
      <c r="L4009" s="8">
        <v>0.46319444444444446</v>
      </c>
      <c r="M4009" s="6" t="s">
        <v>3755</v>
      </c>
      <c r="N4009" s="14" t="s">
        <v>21</v>
      </c>
      <c r="O4009" s="6" t="s">
        <v>22</v>
      </c>
    </row>
    <row r="4010" spans="1:15">
      <c r="A4010" s="6" t="s">
        <v>15</v>
      </c>
      <c r="B4010" s="6" t="str">
        <f>"FES1162692245"</f>
        <v>FES1162692245</v>
      </c>
      <c r="C4010" s="7">
        <v>43613</v>
      </c>
      <c r="D4010" s="6">
        <v>1</v>
      </c>
      <c r="E4010" s="6">
        <v>21706990576</v>
      </c>
      <c r="F4010" s="6" t="s">
        <v>16</v>
      </c>
      <c r="G4010" s="6" t="s">
        <v>17</v>
      </c>
      <c r="H4010" s="6" t="s">
        <v>17</v>
      </c>
      <c r="I4010" s="6" t="s">
        <v>18</v>
      </c>
      <c r="J4010" s="6" t="s">
        <v>19</v>
      </c>
      <c r="K4010" s="7">
        <v>43614</v>
      </c>
      <c r="L4010" s="8">
        <v>0.3527777777777778</v>
      </c>
      <c r="M4010" s="6" t="s">
        <v>2039</v>
      </c>
      <c r="N4010" s="14" t="s">
        <v>21</v>
      </c>
      <c r="O4010" s="6" t="s">
        <v>22</v>
      </c>
    </row>
    <row r="4011" spans="1:15" hidden="1">
      <c r="A4011" t="s">
        <v>15</v>
      </c>
      <c r="B4011" t="str">
        <f>"FES1162692230"</f>
        <v>FES1162692230</v>
      </c>
      <c r="C4011" s="9">
        <v>43613</v>
      </c>
      <c r="D4011">
        <v>1</v>
      </c>
      <c r="E4011">
        <v>2170683618</v>
      </c>
      <c r="F4011" t="s">
        <v>16</v>
      </c>
      <c r="G4011" t="s">
        <v>17</v>
      </c>
      <c r="H4011" t="s">
        <v>1055</v>
      </c>
      <c r="I4011" t="s">
        <v>2050</v>
      </c>
      <c r="J4011" t="s">
        <v>2051</v>
      </c>
      <c r="K4011" s="9">
        <v>43614</v>
      </c>
      <c r="L4011" s="10">
        <v>0.375</v>
      </c>
      <c r="M4011" t="s">
        <v>4582</v>
      </c>
      <c r="N4011" t="s">
        <v>4635</v>
      </c>
      <c r="O4011" t="s">
        <v>22</v>
      </c>
    </row>
    <row r="4012" spans="1:15">
      <c r="A4012" s="6" t="s">
        <v>15</v>
      </c>
      <c r="B4012" s="6" t="str">
        <f>"FES1162692229"</f>
        <v>FES1162692229</v>
      </c>
      <c r="C4012" s="7">
        <v>43613</v>
      </c>
      <c r="D4012" s="6">
        <v>1</v>
      </c>
      <c r="E4012" s="6">
        <v>2170683487</v>
      </c>
      <c r="F4012" s="6" t="s">
        <v>16</v>
      </c>
      <c r="G4012" s="6" t="s">
        <v>17</v>
      </c>
      <c r="H4012" s="6" t="s">
        <v>17</v>
      </c>
      <c r="I4012" s="6" t="s">
        <v>23</v>
      </c>
      <c r="J4012" s="6" t="s">
        <v>24</v>
      </c>
      <c r="K4012" s="7">
        <v>43614</v>
      </c>
      <c r="L4012" s="8">
        <v>0.42569444444444443</v>
      </c>
      <c r="M4012" s="6" t="s">
        <v>4107</v>
      </c>
      <c r="N4012" s="14" t="s">
        <v>21</v>
      </c>
      <c r="O4012" s="6" t="s">
        <v>22</v>
      </c>
    </row>
    <row r="4013" spans="1:15" hidden="1">
      <c r="A4013" t="s">
        <v>15</v>
      </c>
      <c r="B4013" t="str">
        <f>"FES1162692253"</f>
        <v>FES1162692253</v>
      </c>
      <c r="C4013" s="9">
        <v>43613</v>
      </c>
      <c r="D4013">
        <v>1</v>
      </c>
      <c r="E4013">
        <v>2170690587</v>
      </c>
      <c r="F4013" t="s">
        <v>16</v>
      </c>
      <c r="G4013" t="s">
        <v>17</v>
      </c>
      <c r="H4013" t="s">
        <v>32</v>
      </c>
      <c r="I4013" t="s">
        <v>33</v>
      </c>
      <c r="J4013" t="s">
        <v>284</v>
      </c>
      <c r="K4013" s="9">
        <v>43614</v>
      </c>
      <c r="L4013" s="10">
        <v>0.4375</v>
      </c>
      <c r="M4013" t="s">
        <v>1840</v>
      </c>
      <c r="N4013" t="s">
        <v>4636</v>
      </c>
      <c r="O4013" t="s">
        <v>22</v>
      </c>
    </row>
    <row r="4014" spans="1:15" hidden="1">
      <c r="A4014" t="s">
        <v>15</v>
      </c>
      <c r="B4014" t="str">
        <f>"FES1162692272"</f>
        <v>FES1162692272</v>
      </c>
      <c r="C4014" s="9">
        <v>43613</v>
      </c>
      <c r="D4014">
        <v>1</v>
      </c>
      <c r="E4014">
        <v>2170690609</v>
      </c>
      <c r="F4014" t="s">
        <v>16</v>
      </c>
      <c r="G4014" t="s">
        <v>17</v>
      </c>
      <c r="H4014" t="s">
        <v>43</v>
      </c>
      <c r="I4014" t="s">
        <v>44</v>
      </c>
      <c r="J4014" t="s">
        <v>4637</v>
      </c>
      <c r="K4014" s="9">
        <v>43614</v>
      </c>
      <c r="L4014" s="10">
        <v>0.3833333333333333</v>
      </c>
      <c r="M4014" t="s">
        <v>4638</v>
      </c>
      <c r="N4014" t="s">
        <v>4639</v>
      </c>
      <c r="O4014" t="s">
        <v>22</v>
      </c>
    </row>
    <row r="4015" spans="1:15" hidden="1">
      <c r="A4015" t="s">
        <v>15</v>
      </c>
      <c r="B4015" t="str">
        <f>"FES1162692270"</f>
        <v>FES1162692270</v>
      </c>
      <c r="C4015" s="9">
        <v>43613</v>
      </c>
      <c r="D4015">
        <v>1</v>
      </c>
      <c r="E4015">
        <v>2170690606</v>
      </c>
      <c r="F4015" t="s">
        <v>16</v>
      </c>
      <c r="G4015" t="s">
        <v>17</v>
      </c>
      <c r="H4015" t="s">
        <v>43</v>
      </c>
      <c r="I4015" t="s">
        <v>75</v>
      </c>
      <c r="J4015" t="s">
        <v>811</v>
      </c>
      <c r="K4015" s="9">
        <v>43614</v>
      </c>
      <c r="L4015" s="10">
        <v>0.50069444444444444</v>
      </c>
      <c r="M4015" t="s">
        <v>1167</v>
      </c>
      <c r="N4015" t="s">
        <v>4640</v>
      </c>
      <c r="O4015" t="s">
        <v>22</v>
      </c>
    </row>
    <row r="4016" spans="1:15">
      <c r="A4016" s="6" t="s">
        <v>15</v>
      </c>
      <c r="B4016" s="6" t="str">
        <f>"FES1162692274"</f>
        <v>FES1162692274</v>
      </c>
      <c r="C4016" s="7">
        <v>43613</v>
      </c>
      <c r="D4016" s="6">
        <v>1</v>
      </c>
      <c r="E4016" s="6">
        <v>2170690611</v>
      </c>
      <c r="F4016" s="6" t="s">
        <v>16</v>
      </c>
      <c r="G4016" s="6" t="s">
        <v>17</v>
      </c>
      <c r="H4016" s="6" t="s">
        <v>17</v>
      </c>
      <c r="I4016" s="6" t="s">
        <v>414</v>
      </c>
      <c r="J4016" s="6" t="s">
        <v>4397</v>
      </c>
      <c r="K4016" s="7">
        <v>43614</v>
      </c>
      <c r="L4016" s="8">
        <v>0.4375</v>
      </c>
      <c r="M4016" s="6" t="s">
        <v>2498</v>
      </c>
      <c r="N4016" s="14" t="s">
        <v>21</v>
      </c>
      <c r="O4016" s="6" t="s">
        <v>22</v>
      </c>
    </row>
    <row r="4017" spans="1:15" hidden="1">
      <c r="A4017" t="s">
        <v>15</v>
      </c>
      <c r="B4017" t="str">
        <f>"FES1162692282"</f>
        <v>FES1162692282</v>
      </c>
      <c r="C4017" s="9">
        <v>43613</v>
      </c>
      <c r="D4017">
        <v>1</v>
      </c>
      <c r="E4017">
        <v>2170690623</v>
      </c>
      <c r="F4017" t="s">
        <v>16</v>
      </c>
      <c r="G4017" t="s">
        <v>17</v>
      </c>
      <c r="H4017" t="s">
        <v>290</v>
      </c>
      <c r="I4017" t="s">
        <v>309</v>
      </c>
      <c r="J4017" t="s">
        <v>331</v>
      </c>
      <c r="K4017" s="9">
        <v>43614</v>
      </c>
      <c r="L4017" s="10">
        <v>0.37152777777777773</v>
      </c>
      <c r="M4017" t="s">
        <v>4641</v>
      </c>
      <c r="N4017" t="s">
        <v>4642</v>
      </c>
      <c r="O4017" t="s">
        <v>22</v>
      </c>
    </row>
    <row r="4018" spans="1:15">
      <c r="A4018" s="6" t="s">
        <v>15</v>
      </c>
      <c r="B4018" s="6" t="str">
        <f>"FES1162692287"</f>
        <v>FES1162692287</v>
      </c>
      <c r="C4018" s="7">
        <v>43613</v>
      </c>
      <c r="D4018" s="6">
        <v>1</v>
      </c>
      <c r="E4018" s="6">
        <v>217090632</v>
      </c>
      <c r="F4018" s="6" t="s">
        <v>16</v>
      </c>
      <c r="G4018" s="6" t="s">
        <v>17</v>
      </c>
      <c r="H4018" s="6" t="s">
        <v>17</v>
      </c>
      <c r="I4018" s="6" t="s">
        <v>64</v>
      </c>
      <c r="J4018" s="6" t="s">
        <v>4643</v>
      </c>
      <c r="K4018" s="7">
        <v>43614</v>
      </c>
      <c r="L4018" s="8">
        <v>0.3576388888888889</v>
      </c>
      <c r="M4018" s="6" t="s">
        <v>481</v>
      </c>
      <c r="N4018" s="14" t="s">
        <v>21</v>
      </c>
      <c r="O4018" s="6" t="s">
        <v>22</v>
      </c>
    </row>
    <row r="4019" spans="1:15">
      <c r="A4019" s="6" t="s">
        <v>15</v>
      </c>
      <c r="B4019" s="6" t="str">
        <f>"FES1162692307"</f>
        <v>FES1162692307</v>
      </c>
      <c r="C4019" s="7">
        <v>43613</v>
      </c>
      <c r="D4019" s="6">
        <v>1</v>
      </c>
      <c r="E4019" s="6">
        <v>2170690658</v>
      </c>
      <c r="F4019" s="6" t="s">
        <v>16</v>
      </c>
      <c r="G4019" s="6" t="s">
        <v>17</v>
      </c>
      <c r="H4019" s="6" t="s">
        <v>17</v>
      </c>
      <c r="I4019" s="6" t="s">
        <v>64</v>
      </c>
      <c r="J4019" s="6" t="s">
        <v>1628</v>
      </c>
      <c r="K4019" s="7">
        <v>43614</v>
      </c>
      <c r="L4019" s="8">
        <v>0.36527777777777781</v>
      </c>
      <c r="M4019" s="6" t="s">
        <v>1629</v>
      </c>
      <c r="N4019" s="14" t="s">
        <v>21</v>
      </c>
      <c r="O4019" s="6" t="s">
        <v>22</v>
      </c>
    </row>
    <row r="4020" spans="1:15">
      <c r="A4020" s="6" t="s">
        <v>15</v>
      </c>
      <c r="B4020" s="6" t="str">
        <f>"FES1162692306"</f>
        <v>FES1162692306</v>
      </c>
      <c r="C4020" s="7">
        <v>43613</v>
      </c>
      <c r="D4020" s="6">
        <v>1</v>
      </c>
      <c r="E4020" s="6">
        <v>2170690657</v>
      </c>
      <c r="F4020" s="6" t="s">
        <v>16</v>
      </c>
      <c r="G4020" s="6" t="s">
        <v>17</v>
      </c>
      <c r="H4020" s="6" t="s">
        <v>17</v>
      </c>
      <c r="I4020" s="6" t="s">
        <v>18</v>
      </c>
      <c r="J4020" s="6" t="s">
        <v>19</v>
      </c>
      <c r="K4020" s="7">
        <v>43614</v>
      </c>
      <c r="L4020" s="8">
        <v>0.35138888888888892</v>
      </c>
      <c r="M4020" s="6" t="s">
        <v>2039</v>
      </c>
      <c r="N4020" s="14" t="s">
        <v>21</v>
      </c>
      <c r="O4020" s="6" t="s">
        <v>22</v>
      </c>
    </row>
    <row r="4021" spans="1:15">
      <c r="A4021" s="6" t="s">
        <v>15</v>
      </c>
      <c r="B4021" s="6" t="str">
        <f>"FES1162692308"</f>
        <v>FES1162692308</v>
      </c>
      <c r="C4021" s="7">
        <v>43613</v>
      </c>
      <c r="D4021" s="6">
        <v>1</v>
      </c>
      <c r="E4021" s="6">
        <v>2170690659</v>
      </c>
      <c r="F4021" s="6" t="s">
        <v>16</v>
      </c>
      <c r="G4021" s="6" t="s">
        <v>17</v>
      </c>
      <c r="H4021" s="6" t="s">
        <v>17</v>
      </c>
      <c r="I4021" s="6" t="s">
        <v>148</v>
      </c>
      <c r="J4021" s="6" t="s">
        <v>4644</v>
      </c>
      <c r="K4021" s="7">
        <v>43614</v>
      </c>
      <c r="L4021" s="8">
        <v>0.41666666666666669</v>
      </c>
      <c r="M4021" s="6" t="s">
        <v>4645</v>
      </c>
      <c r="N4021" s="14" t="s">
        <v>21</v>
      </c>
      <c r="O4021" s="6" t="s">
        <v>22</v>
      </c>
    </row>
    <row r="4022" spans="1:15" hidden="1">
      <c r="A4022" t="s">
        <v>15</v>
      </c>
      <c r="B4022" t="str">
        <f>"FES1162692205"</f>
        <v>FES1162692205</v>
      </c>
      <c r="C4022" s="9">
        <v>43613</v>
      </c>
      <c r="D4022">
        <v>1</v>
      </c>
      <c r="E4022">
        <v>2170690544</v>
      </c>
      <c r="F4022" t="s">
        <v>16</v>
      </c>
      <c r="G4022" t="s">
        <v>17</v>
      </c>
      <c r="H4022" t="s">
        <v>141</v>
      </c>
      <c r="I4022" t="s">
        <v>448</v>
      </c>
      <c r="J4022" t="s">
        <v>449</v>
      </c>
      <c r="K4022" s="9">
        <v>43614</v>
      </c>
      <c r="L4022" s="10">
        <v>0.42638888888888887</v>
      </c>
      <c r="M4022" t="s">
        <v>4646</v>
      </c>
      <c r="N4022" t="s">
        <v>4647</v>
      </c>
      <c r="O4022" t="s">
        <v>22</v>
      </c>
    </row>
    <row r="4023" spans="1:15">
      <c r="A4023" s="42" t="s">
        <v>15</v>
      </c>
      <c r="B4023" s="42" t="str">
        <f>"FES1162692281"</f>
        <v>FES1162692281</v>
      </c>
      <c r="C4023" s="43">
        <v>43613</v>
      </c>
      <c r="D4023" s="42">
        <v>1</v>
      </c>
      <c r="E4023" s="42">
        <v>2170690622</v>
      </c>
      <c r="F4023" s="42" t="s">
        <v>16</v>
      </c>
      <c r="G4023" s="42" t="s">
        <v>17</v>
      </c>
      <c r="H4023" s="42" t="s">
        <v>17</v>
      </c>
      <c r="I4023" s="42" t="s">
        <v>18</v>
      </c>
      <c r="J4023" s="42" t="s">
        <v>4648</v>
      </c>
      <c r="K4023" s="42" t="s">
        <v>1730</v>
      </c>
      <c r="L4023" s="42"/>
      <c r="M4023" s="42" t="s">
        <v>1731</v>
      </c>
      <c r="N4023" s="42" t="s">
        <v>4649</v>
      </c>
      <c r="O4023" s="42" t="s">
        <v>4649</v>
      </c>
    </row>
    <row r="4024" spans="1:15" hidden="1">
      <c r="A4024" t="s">
        <v>15</v>
      </c>
      <c r="B4024" t="str">
        <f>"FES1162692199"</f>
        <v>FES1162692199</v>
      </c>
      <c r="C4024" s="9">
        <v>43613</v>
      </c>
      <c r="D4024">
        <v>1</v>
      </c>
      <c r="E4024">
        <v>2170680020</v>
      </c>
      <c r="F4024" t="s">
        <v>16</v>
      </c>
      <c r="G4024" t="s">
        <v>17</v>
      </c>
      <c r="H4024" t="s">
        <v>43</v>
      </c>
      <c r="I4024" t="s">
        <v>44</v>
      </c>
      <c r="J4024" t="s">
        <v>48</v>
      </c>
      <c r="K4024" t="s">
        <v>1730</v>
      </c>
      <c r="L4024"/>
      <c r="M4024" t="s">
        <v>1731</v>
      </c>
      <c r="N4024" t="s">
        <v>4650</v>
      </c>
      <c r="O4024" t="s">
        <v>22</v>
      </c>
    </row>
    <row r="4025" spans="1:15" hidden="1">
      <c r="A4025" t="s">
        <v>15</v>
      </c>
      <c r="B4025" t="str">
        <f>"FES1162692227"</f>
        <v>FES1162692227</v>
      </c>
      <c r="C4025" s="9">
        <v>43613</v>
      </c>
      <c r="D4025">
        <v>1</v>
      </c>
      <c r="E4025">
        <v>2170690574</v>
      </c>
      <c r="F4025" t="s">
        <v>16</v>
      </c>
      <c r="G4025" t="s">
        <v>17</v>
      </c>
      <c r="H4025" t="s">
        <v>141</v>
      </c>
      <c r="I4025" t="s">
        <v>185</v>
      </c>
      <c r="J4025" t="s">
        <v>1011</v>
      </c>
      <c r="K4025" s="9">
        <v>43614</v>
      </c>
      <c r="L4025" s="10">
        <v>0.36041666666666666</v>
      </c>
      <c r="M4025" t="s">
        <v>1012</v>
      </c>
      <c r="N4025" t="s">
        <v>4651</v>
      </c>
      <c r="O4025" t="s">
        <v>22</v>
      </c>
    </row>
    <row r="4026" spans="1:15" hidden="1">
      <c r="A4026" t="s">
        <v>15</v>
      </c>
      <c r="B4026" t="str">
        <f>"FES1162692219"</f>
        <v>FES1162692219</v>
      </c>
      <c r="C4026" s="9">
        <v>43613</v>
      </c>
      <c r="D4026">
        <v>1</v>
      </c>
      <c r="E4026">
        <v>2170690559</v>
      </c>
      <c r="F4026" t="s">
        <v>16</v>
      </c>
      <c r="G4026" t="s">
        <v>17</v>
      </c>
      <c r="H4026" t="s">
        <v>141</v>
      </c>
      <c r="I4026" t="s">
        <v>142</v>
      </c>
      <c r="J4026" t="s">
        <v>1718</v>
      </c>
      <c r="K4026" s="9">
        <v>43614</v>
      </c>
      <c r="L4026" s="10">
        <v>0.35347222222222219</v>
      </c>
      <c r="M4026" t="s">
        <v>4652</v>
      </c>
      <c r="N4026" t="s">
        <v>4653</v>
      </c>
      <c r="O4026" t="s">
        <v>22</v>
      </c>
    </row>
    <row r="4027" spans="1:15" hidden="1">
      <c r="A4027" t="s">
        <v>15</v>
      </c>
      <c r="B4027" t="str">
        <f>"FES1162692269"</f>
        <v>FES1162692269</v>
      </c>
      <c r="C4027" s="9">
        <v>43613</v>
      </c>
      <c r="D4027">
        <v>1</v>
      </c>
      <c r="E4027">
        <v>2170690603</v>
      </c>
      <c r="F4027" t="s">
        <v>16</v>
      </c>
      <c r="G4027" t="s">
        <v>17</v>
      </c>
      <c r="H4027" t="s">
        <v>141</v>
      </c>
      <c r="I4027" t="s">
        <v>142</v>
      </c>
      <c r="J4027" t="s">
        <v>228</v>
      </c>
      <c r="K4027" s="9">
        <v>43614</v>
      </c>
      <c r="L4027" s="10">
        <v>0.42708333333333331</v>
      </c>
      <c r="M4027" t="s">
        <v>4325</v>
      </c>
      <c r="N4027" t="s">
        <v>4654</v>
      </c>
      <c r="O4027" t="s">
        <v>22</v>
      </c>
    </row>
    <row r="4028" spans="1:15" hidden="1">
      <c r="A4028" t="s">
        <v>15</v>
      </c>
      <c r="B4028" t="str">
        <f>"FES1162692271"</f>
        <v>FES1162692271</v>
      </c>
      <c r="C4028" s="9">
        <v>43613</v>
      </c>
      <c r="D4028">
        <v>1</v>
      </c>
      <c r="E4028">
        <v>2170690607</v>
      </c>
      <c r="F4028" t="s">
        <v>16</v>
      </c>
      <c r="G4028" t="s">
        <v>17</v>
      </c>
      <c r="H4028" t="s">
        <v>132</v>
      </c>
      <c r="I4028" t="s">
        <v>133</v>
      </c>
      <c r="J4028" t="s">
        <v>1813</v>
      </c>
      <c r="K4028" s="9">
        <v>43614</v>
      </c>
      <c r="L4028" s="10">
        <v>0.38541666666666669</v>
      </c>
      <c r="M4028" t="s">
        <v>1814</v>
      </c>
      <c r="N4028" t="s">
        <v>4655</v>
      </c>
      <c r="O4028" t="s">
        <v>22</v>
      </c>
    </row>
    <row r="4029" spans="1:15" hidden="1">
      <c r="A4029" t="s">
        <v>15</v>
      </c>
      <c r="B4029" t="str">
        <f>"FES1162692203"</f>
        <v>FES1162692203</v>
      </c>
      <c r="C4029" s="9">
        <v>43613</v>
      </c>
      <c r="D4029">
        <v>1</v>
      </c>
      <c r="E4029">
        <v>2170690541</v>
      </c>
      <c r="F4029" t="s">
        <v>16</v>
      </c>
      <c r="G4029" t="s">
        <v>17</v>
      </c>
      <c r="H4029" t="s">
        <v>141</v>
      </c>
      <c r="I4029" t="s">
        <v>142</v>
      </c>
      <c r="J4029" t="s">
        <v>195</v>
      </c>
      <c r="K4029" s="9">
        <v>43614</v>
      </c>
      <c r="L4029" s="10">
        <v>0.35069444444444442</v>
      </c>
      <c r="M4029" t="s">
        <v>2412</v>
      </c>
      <c r="N4029" t="s">
        <v>4656</v>
      </c>
      <c r="O4029" t="s">
        <v>22</v>
      </c>
    </row>
    <row r="4030" spans="1:15" hidden="1">
      <c r="A4030" t="s">
        <v>15</v>
      </c>
      <c r="B4030" t="str">
        <f>"FES1162692185"</f>
        <v>FES1162692185</v>
      </c>
      <c r="C4030" s="9">
        <v>43613</v>
      </c>
      <c r="D4030">
        <v>1</v>
      </c>
      <c r="E4030">
        <v>2170690530</v>
      </c>
      <c r="F4030" t="s">
        <v>16</v>
      </c>
      <c r="G4030" t="s">
        <v>17</v>
      </c>
      <c r="H4030" t="s">
        <v>132</v>
      </c>
      <c r="I4030" t="s">
        <v>133</v>
      </c>
      <c r="J4030" t="s">
        <v>1008</v>
      </c>
      <c r="K4030" s="9">
        <v>43614</v>
      </c>
      <c r="L4030" s="10">
        <v>0.38472222222222219</v>
      </c>
      <c r="M4030" t="s">
        <v>3130</v>
      </c>
      <c r="N4030" t="s">
        <v>4657</v>
      </c>
      <c r="O4030" t="s">
        <v>22</v>
      </c>
    </row>
    <row r="4031" spans="1:15" hidden="1">
      <c r="A4031" t="s">
        <v>15</v>
      </c>
      <c r="B4031" t="str">
        <f>"FES1162692244"</f>
        <v>FES1162692244</v>
      </c>
      <c r="C4031" s="9">
        <v>43613</v>
      </c>
      <c r="D4031">
        <v>1</v>
      </c>
      <c r="E4031">
        <v>2170688741</v>
      </c>
      <c r="F4031" t="s">
        <v>16</v>
      </c>
      <c r="G4031" t="s">
        <v>17</v>
      </c>
      <c r="H4031" t="s">
        <v>322</v>
      </c>
      <c r="I4031" t="s">
        <v>618</v>
      </c>
      <c r="J4031" t="s">
        <v>619</v>
      </c>
      <c r="K4031" s="9">
        <v>43614</v>
      </c>
      <c r="L4031" s="10">
        <v>0.45833333333333331</v>
      </c>
      <c r="M4031" t="s">
        <v>620</v>
      </c>
      <c r="N4031" t="s">
        <v>4658</v>
      </c>
      <c r="O4031" t="s">
        <v>22</v>
      </c>
    </row>
    <row r="4032" spans="1:15" hidden="1">
      <c r="A4032" t="s">
        <v>15</v>
      </c>
      <c r="B4032" t="str">
        <f>"FES1162692233"</f>
        <v>FES1162692233</v>
      </c>
      <c r="C4032" s="9">
        <v>43613</v>
      </c>
      <c r="D4032">
        <v>2</v>
      </c>
      <c r="E4032">
        <v>2170685780</v>
      </c>
      <c r="F4032" t="s">
        <v>16</v>
      </c>
      <c r="G4032" t="s">
        <v>17</v>
      </c>
      <c r="H4032" t="s">
        <v>141</v>
      </c>
      <c r="I4032" t="s">
        <v>142</v>
      </c>
      <c r="J4032" t="s">
        <v>213</v>
      </c>
      <c r="K4032" s="9">
        <v>43614</v>
      </c>
      <c r="L4032" s="10">
        <v>0.3888888888888889</v>
      </c>
      <c r="M4032" t="s">
        <v>214</v>
      </c>
      <c r="N4032" t="s">
        <v>4659</v>
      </c>
      <c r="O4032" t="s">
        <v>22</v>
      </c>
    </row>
    <row r="4033" spans="1:15" hidden="1">
      <c r="A4033" t="s">
        <v>15</v>
      </c>
      <c r="B4033" t="str">
        <f>"FES1162692210"</f>
        <v>FES1162692210</v>
      </c>
      <c r="C4033" s="9">
        <v>43613</v>
      </c>
      <c r="D4033">
        <v>1</v>
      </c>
      <c r="E4033">
        <v>2170690552</v>
      </c>
      <c r="F4033" t="s">
        <v>16</v>
      </c>
      <c r="G4033" t="s">
        <v>17</v>
      </c>
      <c r="H4033" t="s">
        <v>141</v>
      </c>
      <c r="I4033" t="s">
        <v>448</v>
      </c>
      <c r="J4033" t="s">
        <v>4660</v>
      </c>
      <c r="K4033" s="9">
        <v>43614</v>
      </c>
      <c r="L4033" s="10">
        <v>0.41597222222222219</v>
      </c>
      <c r="M4033" t="s">
        <v>4661</v>
      </c>
      <c r="N4033" t="s">
        <v>4662</v>
      </c>
      <c r="O4033" t="s">
        <v>22</v>
      </c>
    </row>
    <row r="4034" spans="1:15" hidden="1">
      <c r="A4034" t="s">
        <v>15</v>
      </c>
      <c r="B4034" t="str">
        <f>"FES1162692279"</f>
        <v>FES1162692279</v>
      </c>
      <c r="C4034" s="9">
        <v>43613</v>
      </c>
      <c r="D4034">
        <v>1</v>
      </c>
      <c r="E4034">
        <v>2170960619</v>
      </c>
      <c r="F4034" t="s">
        <v>16</v>
      </c>
      <c r="G4034" t="s">
        <v>17</v>
      </c>
      <c r="H4034" t="s">
        <v>43</v>
      </c>
      <c r="I4034" t="s">
        <v>44</v>
      </c>
      <c r="J4034" t="s">
        <v>642</v>
      </c>
      <c r="K4034" s="9">
        <v>43614</v>
      </c>
      <c r="L4034" s="10">
        <v>0.37986111111111115</v>
      </c>
      <c r="M4034" t="s">
        <v>643</v>
      </c>
      <c r="N4034" t="s">
        <v>4663</v>
      </c>
      <c r="O4034" t="s">
        <v>22</v>
      </c>
    </row>
    <row r="4035" spans="1:15">
      <c r="A4035" s="6" t="s">
        <v>15</v>
      </c>
      <c r="B4035" s="6" t="str">
        <f>"FES1162692313"</f>
        <v>FES1162692313</v>
      </c>
      <c r="C4035" s="7">
        <v>43613</v>
      </c>
      <c r="D4035" s="6">
        <v>1</v>
      </c>
      <c r="E4035" s="6">
        <v>217096064</v>
      </c>
      <c r="F4035" s="6" t="s">
        <v>16</v>
      </c>
      <c r="G4035" s="6" t="s">
        <v>17</v>
      </c>
      <c r="H4035" s="6" t="s">
        <v>17</v>
      </c>
      <c r="I4035" s="6" t="s">
        <v>103</v>
      </c>
      <c r="J4035" s="6" t="s">
        <v>1493</v>
      </c>
      <c r="K4035" s="7">
        <v>43614</v>
      </c>
      <c r="L4035" s="8">
        <v>0.31527777777777777</v>
      </c>
      <c r="M4035" s="6" t="s">
        <v>4664</v>
      </c>
      <c r="N4035" s="14" t="s">
        <v>21</v>
      </c>
      <c r="O4035" s="6" t="s">
        <v>22</v>
      </c>
    </row>
    <row r="4036" spans="1:15" hidden="1">
      <c r="A4036" s="6" t="s">
        <v>15</v>
      </c>
      <c r="B4036" s="6" t="str">
        <f>"FES1162692312"</f>
        <v>FES1162692312</v>
      </c>
      <c r="C4036" s="7">
        <v>43613</v>
      </c>
      <c r="D4036" s="6">
        <v>1</v>
      </c>
      <c r="E4036" s="6">
        <v>217069638</v>
      </c>
      <c r="F4036" s="6" t="s">
        <v>16</v>
      </c>
      <c r="G4036" s="6" t="s">
        <v>17</v>
      </c>
      <c r="H4036" s="6" t="s">
        <v>59</v>
      </c>
      <c r="I4036" s="6" t="s">
        <v>103</v>
      </c>
      <c r="J4036" s="6" t="s">
        <v>1493</v>
      </c>
      <c r="K4036" s="7">
        <v>43614</v>
      </c>
      <c r="L4036" s="8">
        <v>0.31527777777777777</v>
      </c>
      <c r="M4036" s="6" t="s">
        <v>4664</v>
      </c>
      <c r="N4036" s="14" t="s">
        <v>21</v>
      </c>
      <c r="O4036" s="6" t="s">
        <v>22</v>
      </c>
    </row>
    <row r="4037" spans="1:15" hidden="1">
      <c r="A4037" t="s">
        <v>15</v>
      </c>
      <c r="B4037" t="str">
        <f>"FES1162692289"</f>
        <v>FES1162692289</v>
      </c>
      <c r="C4037" s="9">
        <v>43613</v>
      </c>
      <c r="D4037">
        <v>1</v>
      </c>
      <c r="E4037">
        <v>217069637</v>
      </c>
      <c r="F4037" t="s">
        <v>16</v>
      </c>
      <c r="G4037" t="s">
        <v>17</v>
      </c>
      <c r="H4037" t="s">
        <v>43</v>
      </c>
      <c r="I4037" t="s">
        <v>44</v>
      </c>
      <c r="J4037" t="s">
        <v>51</v>
      </c>
      <c r="K4037" s="9">
        <v>43615</v>
      </c>
      <c r="L4037" s="10">
        <v>0.35694444444444445</v>
      </c>
      <c r="M4037" t="s">
        <v>1214</v>
      </c>
      <c r="N4037" t="s">
        <v>4665</v>
      </c>
      <c r="O4037" t="s">
        <v>22</v>
      </c>
    </row>
    <row r="4038" spans="1:15" hidden="1">
      <c r="A4038" t="s">
        <v>15</v>
      </c>
      <c r="B4038" t="str">
        <f>"FES1162692225"</f>
        <v>FES1162692225</v>
      </c>
      <c r="C4038" s="9">
        <v>43613</v>
      </c>
      <c r="D4038">
        <v>1</v>
      </c>
      <c r="E4038">
        <v>2170690571</v>
      </c>
      <c r="F4038" t="s">
        <v>16</v>
      </c>
      <c r="G4038" t="s">
        <v>17</v>
      </c>
      <c r="H4038" t="s">
        <v>141</v>
      </c>
      <c r="I4038" t="s">
        <v>142</v>
      </c>
      <c r="J4038" t="s">
        <v>4666</v>
      </c>
      <c r="K4038" s="9">
        <v>43614</v>
      </c>
      <c r="L4038" s="10">
        <v>0.4284722222222222</v>
      </c>
      <c r="M4038" t="s">
        <v>4667</v>
      </c>
      <c r="N4038" t="s">
        <v>4668</v>
      </c>
      <c r="O4038" t="s">
        <v>22</v>
      </c>
    </row>
    <row r="4039" spans="1:15" hidden="1">
      <c r="A4039" t="s">
        <v>15</v>
      </c>
      <c r="B4039" t="str">
        <f>"FES1162692283"</f>
        <v>FES1162692283</v>
      </c>
      <c r="C4039" s="9">
        <v>43613</v>
      </c>
      <c r="D4039">
        <v>1</v>
      </c>
      <c r="E4039">
        <v>2170690624</v>
      </c>
      <c r="F4039" t="s">
        <v>16</v>
      </c>
      <c r="G4039" t="s">
        <v>17</v>
      </c>
      <c r="H4039" t="s">
        <v>43</v>
      </c>
      <c r="I4039" t="s">
        <v>44</v>
      </c>
      <c r="J4039" t="s">
        <v>48</v>
      </c>
      <c r="K4039" s="9">
        <v>43614</v>
      </c>
      <c r="L4039" s="10">
        <v>0.36527777777777781</v>
      </c>
      <c r="M4039" t="s">
        <v>1149</v>
      </c>
      <c r="N4039" t="s">
        <v>4669</v>
      </c>
      <c r="O4039" t="s">
        <v>22</v>
      </c>
    </row>
    <row r="4040" spans="1:15" hidden="1">
      <c r="A4040" t="s">
        <v>15</v>
      </c>
      <c r="B4040" t="str">
        <f>"FES1162692252"</f>
        <v>FES1162692252</v>
      </c>
      <c r="C4040" s="9">
        <v>43613</v>
      </c>
      <c r="D4040">
        <v>1</v>
      </c>
      <c r="E4040">
        <v>2170690586</v>
      </c>
      <c r="F4040" t="s">
        <v>16</v>
      </c>
      <c r="G4040" t="s">
        <v>17</v>
      </c>
      <c r="H4040" t="s">
        <v>141</v>
      </c>
      <c r="I4040" t="s">
        <v>142</v>
      </c>
      <c r="J4040" t="s">
        <v>864</v>
      </c>
      <c r="K4040" t="s">
        <v>1730</v>
      </c>
      <c r="L4040"/>
      <c r="M4040" t="s">
        <v>1731</v>
      </c>
      <c r="N4040" t="s">
        <v>4670</v>
      </c>
      <c r="O4040" t="s">
        <v>22</v>
      </c>
    </row>
    <row r="4041" spans="1:15" hidden="1">
      <c r="A4041" t="s">
        <v>15</v>
      </c>
      <c r="B4041" t="str">
        <f>"FES1162692267"</f>
        <v>FES1162692267</v>
      </c>
      <c r="C4041" s="9">
        <v>43613</v>
      </c>
      <c r="D4041">
        <v>1</v>
      </c>
      <c r="E4041">
        <v>2170690219</v>
      </c>
      <c r="F4041" t="s">
        <v>16</v>
      </c>
      <c r="G4041" t="s">
        <v>17</v>
      </c>
      <c r="H4041" t="s">
        <v>43</v>
      </c>
      <c r="I4041" t="s">
        <v>44</v>
      </c>
      <c r="J4041" t="s">
        <v>3770</v>
      </c>
      <c r="K4041" s="9">
        <v>43614</v>
      </c>
      <c r="L4041" s="10">
        <v>0.40416666666666662</v>
      </c>
      <c r="M4041" t="s">
        <v>4594</v>
      </c>
      <c r="N4041" t="s">
        <v>4671</v>
      </c>
      <c r="O4041" t="s">
        <v>22</v>
      </c>
    </row>
    <row r="4042" spans="1:15" hidden="1">
      <c r="A4042" t="s">
        <v>15</v>
      </c>
      <c r="B4042" t="str">
        <f>"FES1162692268"</f>
        <v>FES1162692268</v>
      </c>
      <c r="C4042" s="9">
        <v>43613</v>
      </c>
      <c r="D4042">
        <v>1</v>
      </c>
      <c r="E4042">
        <v>2170690595</v>
      </c>
      <c r="F4042" t="s">
        <v>16</v>
      </c>
      <c r="G4042" t="s">
        <v>17</v>
      </c>
      <c r="H4042" t="s">
        <v>43</v>
      </c>
      <c r="I4042" t="s">
        <v>44</v>
      </c>
      <c r="J4042" t="s">
        <v>3878</v>
      </c>
      <c r="K4042" s="9">
        <v>43614</v>
      </c>
      <c r="L4042" s="10">
        <v>0.29583333333333334</v>
      </c>
      <c r="M4042" t="s">
        <v>1736</v>
      </c>
      <c r="N4042" t="s">
        <v>4672</v>
      </c>
      <c r="O4042" t="s">
        <v>22</v>
      </c>
    </row>
    <row r="4043" spans="1:15">
      <c r="A4043" s="6" t="s">
        <v>15</v>
      </c>
      <c r="B4043" s="6" t="str">
        <f>"FES1162692293"</f>
        <v>FES1162692293</v>
      </c>
      <c r="C4043" s="7">
        <v>43613</v>
      </c>
      <c r="D4043" s="6">
        <v>1</v>
      </c>
      <c r="E4043" s="6">
        <v>2170690643</v>
      </c>
      <c r="F4043" s="6" t="s">
        <v>16</v>
      </c>
      <c r="G4043" s="6" t="s">
        <v>17</v>
      </c>
      <c r="H4043" s="6" t="s">
        <v>17</v>
      </c>
      <c r="I4043" s="6" t="s">
        <v>81</v>
      </c>
      <c r="J4043" s="6" t="s">
        <v>156</v>
      </c>
      <c r="K4043" s="7">
        <v>43614</v>
      </c>
      <c r="L4043" s="8">
        <v>0.33333333333333331</v>
      </c>
      <c r="M4043" s="6" t="s">
        <v>1563</v>
      </c>
      <c r="N4043" s="14" t="s">
        <v>21</v>
      </c>
      <c r="O4043" s="6" t="s">
        <v>22</v>
      </c>
    </row>
    <row r="4044" spans="1:15">
      <c r="A4044" s="6" t="s">
        <v>15</v>
      </c>
      <c r="B4044" s="6" t="str">
        <f>"FES1162692291"</f>
        <v>FES1162692291</v>
      </c>
      <c r="C4044" s="7">
        <v>43613</v>
      </c>
      <c r="D4044" s="6">
        <v>1</v>
      </c>
      <c r="E4044" s="6">
        <v>2170690639</v>
      </c>
      <c r="F4044" s="6" t="s">
        <v>1433</v>
      </c>
      <c r="G4044" s="6" t="s">
        <v>17</v>
      </c>
      <c r="H4044" s="6" t="s">
        <v>17</v>
      </c>
      <c r="I4044" s="6" t="s">
        <v>1376</v>
      </c>
      <c r="J4044" s="6" t="s">
        <v>4673</v>
      </c>
      <c r="K4044" s="7">
        <v>43614</v>
      </c>
      <c r="L4044" s="8">
        <v>0.33333333333333331</v>
      </c>
      <c r="M4044" s="6" t="s">
        <v>3550</v>
      </c>
      <c r="N4044" s="14" t="s">
        <v>21</v>
      </c>
      <c r="O4044" s="6" t="s">
        <v>494</v>
      </c>
    </row>
    <row r="4045" spans="1:15" hidden="1">
      <c r="A4045" t="s">
        <v>15</v>
      </c>
      <c r="B4045" t="str">
        <f>"FES1162692261"</f>
        <v>FES1162692261</v>
      </c>
      <c r="C4045" s="9">
        <v>43613</v>
      </c>
      <c r="D4045">
        <v>1</v>
      </c>
      <c r="E4045">
        <v>2170609240</v>
      </c>
      <c r="F4045" t="s">
        <v>16</v>
      </c>
      <c r="G4045" t="s">
        <v>17</v>
      </c>
      <c r="H4045" t="s">
        <v>141</v>
      </c>
      <c r="I4045" t="s">
        <v>185</v>
      </c>
      <c r="J4045" t="s">
        <v>186</v>
      </c>
      <c r="K4045" s="9">
        <v>43614</v>
      </c>
      <c r="L4045" s="10">
        <v>0.34861111111111115</v>
      </c>
      <c r="M4045" t="s">
        <v>1305</v>
      </c>
      <c r="N4045" t="s">
        <v>4674</v>
      </c>
      <c r="O4045" t="s">
        <v>22</v>
      </c>
    </row>
    <row r="4046" spans="1:15" hidden="1">
      <c r="A4046" t="s">
        <v>15</v>
      </c>
      <c r="B4046" t="str">
        <f>"FES1162692316"</f>
        <v>FES1162692316</v>
      </c>
      <c r="C4046" s="9">
        <v>43613</v>
      </c>
      <c r="D4046">
        <v>1</v>
      </c>
      <c r="E4046">
        <v>21706906666</v>
      </c>
      <c r="F4046" t="s">
        <v>16</v>
      </c>
      <c r="G4046" t="s">
        <v>17</v>
      </c>
      <c r="H4046" t="s">
        <v>141</v>
      </c>
      <c r="I4046" t="s">
        <v>185</v>
      </c>
      <c r="J4046" t="s">
        <v>4675</v>
      </c>
      <c r="K4046" s="9">
        <v>43614</v>
      </c>
      <c r="L4046" s="10">
        <v>0.42708333333333331</v>
      </c>
      <c r="M4046" t="s">
        <v>4676</v>
      </c>
      <c r="N4046" t="s">
        <v>4677</v>
      </c>
      <c r="O4046" t="s">
        <v>22</v>
      </c>
    </row>
    <row r="4047" spans="1:15" hidden="1">
      <c r="A4047" t="s">
        <v>15</v>
      </c>
      <c r="B4047" t="str">
        <f>"FES1162692318"</f>
        <v>FES1162692318</v>
      </c>
      <c r="C4047" s="9">
        <v>43613</v>
      </c>
      <c r="D4047">
        <v>1</v>
      </c>
      <c r="E4047">
        <v>217069663</v>
      </c>
      <c r="F4047" t="s">
        <v>16</v>
      </c>
      <c r="G4047" t="s">
        <v>17</v>
      </c>
      <c r="H4047" t="s">
        <v>141</v>
      </c>
      <c r="I4047" t="s">
        <v>185</v>
      </c>
      <c r="J4047" t="s">
        <v>210</v>
      </c>
      <c r="K4047" s="9">
        <v>43614</v>
      </c>
      <c r="L4047" s="10">
        <v>0.40277777777777773</v>
      </c>
      <c r="M4047" t="s">
        <v>211</v>
      </c>
      <c r="N4047" t="s">
        <v>4678</v>
      </c>
      <c r="O4047" t="s">
        <v>22</v>
      </c>
    </row>
    <row r="4048" spans="1:15" hidden="1">
      <c r="A4048" t="s">
        <v>15</v>
      </c>
      <c r="B4048" t="str">
        <f>"FES1162692304"</f>
        <v>FES1162692304</v>
      </c>
      <c r="C4048" s="9">
        <v>43613</v>
      </c>
      <c r="D4048">
        <v>1</v>
      </c>
      <c r="E4048">
        <v>2170690655</v>
      </c>
      <c r="F4048" t="s">
        <v>16</v>
      </c>
      <c r="G4048" t="s">
        <v>17</v>
      </c>
      <c r="H4048" t="s">
        <v>132</v>
      </c>
      <c r="I4048" t="s">
        <v>3229</v>
      </c>
      <c r="J4048" t="s">
        <v>4208</v>
      </c>
      <c r="K4048" s="9">
        <v>43614</v>
      </c>
      <c r="L4048" s="10">
        <v>0.4597222222222222</v>
      </c>
      <c r="M4048" t="s">
        <v>4679</v>
      </c>
      <c r="N4048" t="s">
        <v>4680</v>
      </c>
      <c r="O4048" t="s">
        <v>22</v>
      </c>
    </row>
    <row r="4049" spans="1:15" hidden="1">
      <c r="A4049" t="s">
        <v>15</v>
      </c>
      <c r="B4049" t="str">
        <f>"FES1162692303"</f>
        <v>FES1162692303</v>
      </c>
      <c r="C4049" s="9">
        <v>43613</v>
      </c>
      <c r="D4049">
        <v>1</v>
      </c>
      <c r="E4049">
        <v>217069652</v>
      </c>
      <c r="F4049" t="s">
        <v>16</v>
      </c>
      <c r="G4049" t="s">
        <v>17</v>
      </c>
      <c r="H4049" t="s">
        <v>132</v>
      </c>
      <c r="I4049" t="s">
        <v>133</v>
      </c>
      <c r="J4049" t="s">
        <v>189</v>
      </c>
      <c r="K4049" s="9">
        <v>43614</v>
      </c>
      <c r="L4049" s="10">
        <v>0.4375</v>
      </c>
      <c r="M4049" t="s">
        <v>1415</v>
      </c>
      <c r="N4049" t="s">
        <v>4681</v>
      </c>
      <c r="O4049" t="s">
        <v>22</v>
      </c>
    </row>
    <row r="4050" spans="1:15">
      <c r="A4050" s="6" t="s">
        <v>15</v>
      </c>
      <c r="B4050" s="6" t="str">
        <f>"FES1162692223"</f>
        <v>FES1162692223</v>
      </c>
      <c r="C4050" s="7">
        <v>43613</v>
      </c>
      <c r="D4050" s="6">
        <v>1</v>
      </c>
      <c r="E4050" s="6">
        <v>2170690569</v>
      </c>
      <c r="F4050" s="6" t="s">
        <v>16</v>
      </c>
      <c r="G4050" s="6" t="s">
        <v>17</v>
      </c>
      <c r="H4050" s="6" t="s">
        <v>17</v>
      </c>
      <c r="I4050" s="6" t="s">
        <v>414</v>
      </c>
      <c r="J4050" s="6" t="s">
        <v>4682</v>
      </c>
      <c r="K4050" s="7">
        <v>43614</v>
      </c>
      <c r="L4050" s="8">
        <v>0.4375</v>
      </c>
      <c r="M4050" s="6" t="s">
        <v>4683</v>
      </c>
      <c r="N4050" s="14" t="s">
        <v>21</v>
      </c>
      <c r="O4050" s="6" t="s">
        <v>22</v>
      </c>
    </row>
    <row r="4051" spans="1:15" hidden="1">
      <c r="A4051" t="s">
        <v>15</v>
      </c>
      <c r="B4051" t="str">
        <f>"FES1162692285"</f>
        <v>FES1162692285</v>
      </c>
      <c r="C4051" s="9">
        <v>43613</v>
      </c>
      <c r="D4051">
        <v>1</v>
      </c>
      <c r="E4051">
        <v>2170690626</v>
      </c>
      <c r="F4051" t="s">
        <v>16</v>
      </c>
      <c r="G4051" t="s">
        <v>17</v>
      </c>
      <c r="H4051" t="s">
        <v>37</v>
      </c>
      <c r="I4051" t="s">
        <v>38</v>
      </c>
      <c r="J4051" t="s">
        <v>766</v>
      </c>
      <c r="K4051" s="9">
        <v>43614</v>
      </c>
      <c r="L4051" s="10">
        <v>0.38958333333333334</v>
      </c>
      <c r="M4051" t="s">
        <v>1247</v>
      </c>
      <c r="N4051" t="s">
        <v>4684</v>
      </c>
      <c r="O4051" t="s">
        <v>22</v>
      </c>
    </row>
    <row r="4052" spans="1:15" hidden="1">
      <c r="A4052" t="s">
        <v>15</v>
      </c>
      <c r="B4052" t="str">
        <f>"FES1162692299"</f>
        <v>FES1162692299</v>
      </c>
      <c r="C4052" s="9">
        <v>43613</v>
      </c>
      <c r="D4052">
        <v>1</v>
      </c>
      <c r="E4052">
        <v>2170690489</v>
      </c>
      <c r="F4052" t="s">
        <v>16</v>
      </c>
      <c r="G4052" t="s">
        <v>17</v>
      </c>
      <c r="H4052" t="s">
        <v>43</v>
      </c>
      <c r="I4052" t="s">
        <v>44</v>
      </c>
      <c r="J4052" t="s">
        <v>176</v>
      </c>
      <c r="K4052" s="9">
        <v>43614</v>
      </c>
      <c r="L4052" s="10">
        <v>0.32013888888888892</v>
      </c>
      <c r="M4052" t="s">
        <v>3875</v>
      </c>
      <c r="N4052" t="s">
        <v>4685</v>
      </c>
      <c r="O4052" t="s">
        <v>22</v>
      </c>
    </row>
    <row r="4053" spans="1:15" hidden="1">
      <c r="A4053" t="s">
        <v>15</v>
      </c>
      <c r="B4053" t="str">
        <f>"FES1162692301"</f>
        <v>FES1162692301</v>
      </c>
      <c r="C4053" s="9">
        <v>43613</v>
      </c>
      <c r="D4053">
        <v>1</v>
      </c>
      <c r="E4053">
        <v>2170690491</v>
      </c>
      <c r="F4053" t="s">
        <v>16</v>
      </c>
      <c r="G4053" t="s">
        <v>17</v>
      </c>
      <c r="H4053" t="s">
        <v>43</v>
      </c>
      <c r="I4053" t="s">
        <v>44</v>
      </c>
      <c r="J4053" t="s">
        <v>176</v>
      </c>
      <c r="K4053" s="9">
        <v>43614</v>
      </c>
      <c r="L4053" s="10">
        <v>0.32013888888888892</v>
      </c>
      <c r="M4053" t="s">
        <v>3875</v>
      </c>
      <c r="N4053" t="s">
        <v>4686</v>
      </c>
      <c r="O4053" t="s">
        <v>22</v>
      </c>
    </row>
    <row r="4054" spans="1:15" hidden="1">
      <c r="A4054" t="s">
        <v>15</v>
      </c>
      <c r="B4054" t="str">
        <f>"FES1162692207"</f>
        <v>FES1162692207</v>
      </c>
      <c r="C4054" s="9">
        <v>43613</v>
      </c>
      <c r="D4054">
        <v>1</v>
      </c>
      <c r="E4054">
        <v>2170681290</v>
      </c>
      <c r="F4054" t="s">
        <v>16</v>
      </c>
      <c r="G4054" t="s">
        <v>17</v>
      </c>
      <c r="H4054" t="s">
        <v>141</v>
      </c>
      <c r="I4054" t="s">
        <v>142</v>
      </c>
      <c r="J4054" t="s">
        <v>2313</v>
      </c>
      <c r="K4054" s="9">
        <v>43614</v>
      </c>
      <c r="L4054" s="10">
        <v>0.38055555555555554</v>
      </c>
      <c r="M4054" t="s">
        <v>2314</v>
      </c>
      <c r="N4054" t="s">
        <v>4687</v>
      </c>
      <c r="O4054" t="s">
        <v>22</v>
      </c>
    </row>
    <row r="4055" spans="1:15" hidden="1">
      <c r="A4055" t="s">
        <v>15</v>
      </c>
      <c r="B4055" t="str">
        <f>"FES1162692302"</f>
        <v>FES1162692302</v>
      </c>
      <c r="C4055" s="9">
        <v>43613</v>
      </c>
      <c r="D4055">
        <v>1</v>
      </c>
      <c r="E4055">
        <v>2170696501</v>
      </c>
      <c r="F4055" t="s">
        <v>16</v>
      </c>
      <c r="G4055" t="s">
        <v>17</v>
      </c>
      <c r="H4055" t="s">
        <v>32</v>
      </c>
      <c r="I4055" t="s">
        <v>33</v>
      </c>
      <c r="J4055" t="s">
        <v>365</v>
      </c>
      <c r="K4055" s="9">
        <v>43614</v>
      </c>
      <c r="L4055" s="10">
        <v>0.36805555555555558</v>
      </c>
      <c r="M4055" t="s">
        <v>2444</v>
      </c>
      <c r="N4055" t="s">
        <v>4688</v>
      </c>
      <c r="O4055" t="s">
        <v>22</v>
      </c>
    </row>
    <row r="4056" spans="1:15">
      <c r="A4056" s="6" t="s">
        <v>15</v>
      </c>
      <c r="B4056" s="6" t="str">
        <f>"FES1162692324"</f>
        <v>FES1162692324</v>
      </c>
      <c r="C4056" s="7">
        <v>43613</v>
      </c>
      <c r="D4056" s="6">
        <v>1</v>
      </c>
      <c r="E4056" s="6">
        <v>2170690675</v>
      </c>
      <c r="F4056" s="6" t="s">
        <v>16</v>
      </c>
      <c r="G4056" s="6" t="s">
        <v>17</v>
      </c>
      <c r="H4056" s="6" t="s">
        <v>17</v>
      </c>
      <c r="I4056" s="6" t="s">
        <v>18</v>
      </c>
      <c r="J4056" s="6" t="s">
        <v>160</v>
      </c>
      <c r="K4056" s="7">
        <v>43614</v>
      </c>
      <c r="L4056" s="8">
        <v>0.62430555555555556</v>
      </c>
      <c r="M4056" s="6" t="s">
        <v>1748</v>
      </c>
      <c r="N4056" s="14" t="s">
        <v>21</v>
      </c>
      <c r="O4056" s="6" t="s">
        <v>22</v>
      </c>
    </row>
    <row r="4057" spans="1:15" hidden="1">
      <c r="A4057" t="s">
        <v>15</v>
      </c>
      <c r="B4057" t="str">
        <f>"FES1162692197"</f>
        <v>FES1162692197</v>
      </c>
      <c r="C4057" s="9">
        <v>43613</v>
      </c>
      <c r="D4057">
        <v>1</v>
      </c>
      <c r="E4057">
        <v>2170684512</v>
      </c>
      <c r="F4057" t="s">
        <v>16</v>
      </c>
      <c r="G4057" t="s">
        <v>17</v>
      </c>
      <c r="H4057" t="s">
        <v>32</v>
      </c>
      <c r="I4057" t="s">
        <v>33</v>
      </c>
      <c r="J4057" t="s">
        <v>1832</v>
      </c>
      <c r="K4057" s="9">
        <v>43614</v>
      </c>
      <c r="L4057" s="10">
        <v>0.42708333333333331</v>
      </c>
      <c r="M4057" t="s">
        <v>3536</v>
      </c>
      <c r="N4057" t="s">
        <v>4689</v>
      </c>
      <c r="O4057" t="s">
        <v>22</v>
      </c>
    </row>
    <row r="4058" spans="1:15" hidden="1">
      <c r="A4058" t="s">
        <v>15</v>
      </c>
      <c r="B4058" t="str">
        <f>"FES1162692294"</f>
        <v>FES1162692294</v>
      </c>
      <c r="C4058" s="9">
        <v>43613</v>
      </c>
      <c r="D4058">
        <v>1</v>
      </c>
      <c r="E4058">
        <v>2170690645</v>
      </c>
      <c r="F4058" t="s">
        <v>16</v>
      </c>
      <c r="G4058" t="s">
        <v>17</v>
      </c>
      <c r="H4058" t="s">
        <v>37</v>
      </c>
      <c r="I4058" t="s">
        <v>38</v>
      </c>
      <c r="J4058" t="s">
        <v>39</v>
      </c>
      <c r="K4058" s="9">
        <v>43614</v>
      </c>
      <c r="L4058" s="10">
        <v>0.37847222222222227</v>
      </c>
      <c r="M4058" t="s">
        <v>1740</v>
      </c>
      <c r="N4058" t="s">
        <v>4690</v>
      </c>
      <c r="O4058" t="s">
        <v>22</v>
      </c>
    </row>
    <row r="4059" spans="1:15" hidden="1">
      <c r="A4059" t="s">
        <v>15</v>
      </c>
      <c r="B4059" t="str">
        <f>"FES1162692305"</f>
        <v>FES1162692305</v>
      </c>
      <c r="C4059" s="9">
        <v>43613</v>
      </c>
      <c r="D4059">
        <v>1</v>
      </c>
      <c r="E4059">
        <v>2170690656</v>
      </c>
      <c r="F4059" t="s">
        <v>16</v>
      </c>
      <c r="G4059" t="s">
        <v>17</v>
      </c>
      <c r="H4059" t="s">
        <v>32</v>
      </c>
      <c r="I4059" t="s">
        <v>33</v>
      </c>
      <c r="J4059" t="s">
        <v>4691</v>
      </c>
      <c r="K4059" s="9">
        <v>43614</v>
      </c>
      <c r="L4059" s="10">
        <v>0.42708333333333331</v>
      </c>
      <c r="M4059" t="s">
        <v>4137</v>
      </c>
      <c r="N4059" t="s">
        <v>4692</v>
      </c>
      <c r="O4059" t="s">
        <v>22</v>
      </c>
    </row>
    <row r="4060" spans="1:15" hidden="1">
      <c r="A4060" t="s">
        <v>15</v>
      </c>
      <c r="B4060" t="str">
        <f>"FES1162692275"</f>
        <v>FES1162692275</v>
      </c>
      <c r="C4060" s="9">
        <v>43613</v>
      </c>
      <c r="D4060">
        <v>1</v>
      </c>
      <c r="E4060">
        <v>2170690613</v>
      </c>
      <c r="F4060" t="s">
        <v>16</v>
      </c>
      <c r="G4060" t="s">
        <v>17</v>
      </c>
      <c r="H4060" t="s">
        <v>37</v>
      </c>
      <c r="I4060" t="s">
        <v>38</v>
      </c>
      <c r="J4060" t="s">
        <v>39</v>
      </c>
      <c r="K4060" s="9">
        <v>43614</v>
      </c>
      <c r="L4060" s="10">
        <v>0.37847222222222227</v>
      </c>
      <c r="M4060" t="s">
        <v>1740</v>
      </c>
      <c r="N4060" t="s">
        <v>4693</v>
      </c>
      <c r="O4060" t="s">
        <v>22</v>
      </c>
    </row>
    <row r="4061" spans="1:15" hidden="1">
      <c r="A4061" t="s">
        <v>15</v>
      </c>
      <c r="B4061" t="str">
        <f>"FES1162692311"</f>
        <v>FES1162692311</v>
      </c>
      <c r="C4061" s="9">
        <v>43613</v>
      </c>
      <c r="D4061">
        <v>1</v>
      </c>
      <c r="E4061">
        <v>2170690249</v>
      </c>
      <c r="F4061" t="s">
        <v>16</v>
      </c>
      <c r="G4061" t="s">
        <v>17</v>
      </c>
      <c r="H4061" t="s">
        <v>141</v>
      </c>
      <c r="I4061" t="s">
        <v>433</v>
      </c>
      <c r="J4061" t="s">
        <v>2028</v>
      </c>
      <c r="K4061" s="9">
        <v>43614</v>
      </c>
      <c r="L4061" s="10">
        <v>0.52777777777777779</v>
      </c>
      <c r="M4061" t="s">
        <v>4694</v>
      </c>
      <c r="N4061" t="s">
        <v>4695</v>
      </c>
      <c r="O4061" t="s">
        <v>22</v>
      </c>
    </row>
    <row r="4062" spans="1:15">
      <c r="A4062" s="6" t="s">
        <v>15</v>
      </c>
      <c r="B4062" s="6" t="str">
        <f>"FES1162690479"</f>
        <v>FES1162690479</v>
      </c>
      <c r="C4062" s="7">
        <v>43613</v>
      </c>
      <c r="D4062" s="6">
        <v>1</v>
      </c>
      <c r="E4062" s="6">
        <v>21706955950</v>
      </c>
      <c r="F4062" s="6" t="s">
        <v>16</v>
      </c>
      <c r="G4062" s="6" t="s">
        <v>17</v>
      </c>
      <c r="H4062" s="6" t="s">
        <v>17</v>
      </c>
      <c r="I4062" s="6" t="s">
        <v>64</v>
      </c>
      <c r="J4062" s="6" t="s">
        <v>4696</v>
      </c>
      <c r="K4062" s="7">
        <v>43614</v>
      </c>
      <c r="L4062" s="8">
        <v>0.42499999999999999</v>
      </c>
      <c r="M4062" s="6" t="s">
        <v>4697</v>
      </c>
      <c r="N4062" s="14" t="s">
        <v>21</v>
      </c>
      <c r="O4062" s="6" t="s">
        <v>22</v>
      </c>
    </row>
    <row r="4063" spans="1:15" hidden="1">
      <c r="A4063" t="s">
        <v>15</v>
      </c>
      <c r="B4063" t="str">
        <f>"FES1162692323"</f>
        <v>FES1162692323</v>
      </c>
      <c r="C4063" s="9">
        <v>43613</v>
      </c>
      <c r="D4063">
        <v>1</v>
      </c>
      <c r="E4063">
        <v>2170690674</v>
      </c>
      <c r="F4063" t="s">
        <v>16</v>
      </c>
      <c r="G4063" t="s">
        <v>17</v>
      </c>
      <c r="H4063" t="s">
        <v>43</v>
      </c>
      <c r="I4063" t="s">
        <v>44</v>
      </c>
      <c r="J4063" t="s">
        <v>748</v>
      </c>
      <c r="K4063" s="9">
        <v>43614</v>
      </c>
      <c r="L4063" s="10">
        <v>0.41666666666666669</v>
      </c>
      <c r="M4063" t="s">
        <v>3834</v>
      </c>
      <c r="N4063" t="s">
        <v>4698</v>
      </c>
      <c r="O4063" t="s">
        <v>22</v>
      </c>
    </row>
    <row r="4064" spans="1:15" hidden="1">
      <c r="A4064" t="s">
        <v>15</v>
      </c>
      <c r="B4064" t="str">
        <f>"FES1162692321"</f>
        <v>FES1162692321</v>
      </c>
      <c r="C4064" s="9">
        <v>43613</v>
      </c>
      <c r="D4064">
        <v>1</v>
      </c>
      <c r="E4064">
        <v>2170690677</v>
      </c>
      <c r="F4064" t="s">
        <v>16</v>
      </c>
      <c r="G4064" t="s">
        <v>17</v>
      </c>
      <c r="H4064" t="s">
        <v>43</v>
      </c>
      <c r="I4064" t="s">
        <v>44</v>
      </c>
      <c r="J4064" t="s">
        <v>48</v>
      </c>
      <c r="K4064" s="9">
        <v>43614</v>
      </c>
      <c r="L4064" s="10">
        <v>0.36527777777777781</v>
      </c>
      <c r="M4064" t="s">
        <v>1149</v>
      </c>
      <c r="N4064" t="s">
        <v>4699</v>
      </c>
      <c r="O4064" t="s">
        <v>22</v>
      </c>
    </row>
    <row r="4065" spans="1:15" hidden="1">
      <c r="A4065" t="s">
        <v>15</v>
      </c>
      <c r="B4065" t="str">
        <f>"FES1162692325"</f>
        <v>FES1162692325</v>
      </c>
      <c r="C4065" s="9">
        <v>43613</v>
      </c>
      <c r="D4065">
        <v>1</v>
      </c>
      <c r="E4065">
        <v>2170690676</v>
      </c>
      <c r="F4065" t="s">
        <v>16</v>
      </c>
      <c r="G4065" t="s">
        <v>17</v>
      </c>
      <c r="H4065" t="s">
        <v>141</v>
      </c>
      <c r="I4065" t="s">
        <v>448</v>
      </c>
      <c r="J4065" t="s">
        <v>2064</v>
      </c>
      <c r="K4065" s="9">
        <v>43614</v>
      </c>
      <c r="L4065" s="10">
        <v>0.3840277777777778</v>
      </c>
      <c r="M4065" t="s">
        <v>4564</v>
      </c>
      <c r="N4065" t="s">
        <v>4700</v>
      </c>
      <c r="O4065" t="s">
        <v>22</v>
      </c>
    </row>
    <row r="4066" spans="1:15" hidden="1">
      <c r="A4066" t="s">
        <v>15</v>
      </c>
      <c r="B4066" t="str">
        <f>"019911052943"</f>
        <v>019911052943</v>
      </c>
      <c r="C4066" s="9">
        <v>43613</v>
      </c>
      <c r="D4066">
        <v>1</v>
      </c>
      <c r="E4066" t="s">
        <v>1064</v>
      </c>
      <c r="F4066" t="s">
        <v>1433</v>
      </c>
      <c r="G4066" t="s">
        <v>43</v>
      </c>
      <c r="H4066" t="s">
        <v>425</v>
      </c>
      <c r="I4066" t="s">
        <v>4701</v>
      </c>
      <c r="J4066" t="s">
        <v>1985</v>
      </c>
      <c r="K4066" s="9">
        <v>43614</v>
      </c>
      <c r="L4066" s="10">
        <v>0.3666666666666667</v>
      </c>
      <c r="M4066" t="s">
        <v>4702</v>
      </c>
      <c r="N4066" t="s">
        <v>4703</v>
      </c>
      <c r="O4066" t="s">
        <v>22</v>
      </c>
    </row>
    <row r="4067" spans="1:15" hidden="1">
      <c r="A4067" t="s">
        <v>15</v>
      </c>
      <c r="B4067" t="str">
        <f>"019911311350"</f>
        <v>019911311350</v>
      </c>
      <c r="C4067" s="9">
        <v>43613</v>
      </c>
      <c r="D4067">
        <v>1</v>
      </c>
      <c r="E4067">
        <v>1703</v>
      </c>
      <c r="F4067" t="s">
        <v>58</v>
      </c>
      <c r="G4067" t="s">
        <v>43</v>
      </c>
      <c r="H4067" t="s">
        <v>59</v>
      </c>
      <c r="I4067" t="s">
        <v>64</v>
      </c>
      <c r="J4067" t="s">
        <v>1062</v>
      </c>
      <c r="K4067" t="s">
        <v>1730</v>
      </c>
      <c r="L4067"/>
      <c r="M4067" t="s">
        <v>1731</v>
      </c>
      <c r="N4067" t="s">
        <v>4704</v>
      </c>
      <c r="O4067" t="s">
        <v>22</v>
      </c>
    </row>
    <row r="4068" spans="1:15">
      <c r="A4068" s="6" t="s">
        <v>15</v>
      </c>
      <c r="B4068" s="6" t="str">
        <f>"009938166579"</f>
        <v>009938166579</v>
      </c>
      <c r="C4068" s="7">
        <v>43613</v>
      </c>
      <c r="D4068" s="6">
        <v>1</v>
      </c>
      <c r="E4068" s="6" t="s">
        <v>1060</v>
      </c>
      <c r="F4068" s="6" t="s">
        <v>1433</v>
      </c>
      <c r="G4068" s="6" t="s">
        <v>290</v>
      </c>
      <c r="H4068" s="6" t="s">
        <v>17</v>
      </c>
      <c r="I4068" s="6" t="s">
        <v>64</v>
      </c>
      <c r="J4068" s="6" t="s">
        <v>4705</v>
      </c>
      <c r="K4068" s="7">
        <v>43614</v>
      </c>
      <c r="L4068" s="8">
        <v>0.36527777777777781</v>
      </c>
      <c r="M4068" s="6" t="s">
        <v>477</v>
      </c>
      <c r="N4068" s="14" t="s">
        <v>21</v>
      </c>
      <c r="O4068" s="6" t="s">
        <v>22</v>
      </c>
    </row>
    <row r="4069" spans="1:15">
      <c r="A4069" s="6" t="s">
        <v>15</v>
      </c>
      <c r="B4069" s="6" t="str">
        <f>"FES1162692336"</f>
        <v>FES1162692336</v>
      </c>
      <c r="C4069" s="7">
        <v>43613</v>
      </c>
      <c r="D4069" s="6">
        <v>1</v>
      </c>
      <c r="E4069" s="6">
        <v>2170690690</v>
      </c>
      <c r="F4069" s="6" t="s">
        <v>16</v>
      </c>
      <c r="G4069" s="6" t="s">
        <v>17</v>
      </c>
      <c r="H4069" s="6" t="s">
        <v>17</v>
      </c>
      <c r="I4069" s="6" t="s">
        <v>103</v>
      </c>
      <c r="J4069" s="6" t="s">
        <v>776</v>
      </c>
      <c r="K4069" s="7">
        <v>43614</v>
      </c>
      <c r="L4069" s="8">
        <v>0.33333333333333331</v>
      </c>
      <c r="M4069" s="6" t="s">
        <v>3719</v>
      </c>
      <c r="N4069" s="14" t="s">
        <v>21</v>
      </c>
      <c r="O4069" s="6" t="s">
        <v>22</v>
      </c>
    </row>
    <row r="4070" spans="1:15" hidden="1">
      <c r="A4070" t="s">
        <v>15</v>
      </c>
      <c r="B4070" t="str">
        <f>"FES1162692314"</f>
        <v>FES1162692314</v>
      </c>
      <c r="C4070" s="9">
        <v>43613</v>
      </c>
      <c r="D4070">
        <v>1</v>
      </c>
      <c r="E4070">
        <v>2170690661</v>
      </c>
      <c r="F4070" t="s">
        <v>16</v>
      </c>
      <c r="G4070" t="s">
        <v>17</v>
      </c>
      <c r="H4070" t="s">
        <v>290</v>
      </c>
      <c r="I4070" t="s">
        <v>316</v>
      </c>
      <c r="J4070" t="s">
        <v>317</v>
      </c>
      <c r="K4070" s="9">
        <v>43614</v>
      </c>
      <c r="L4070" s="10">
        <v>0.375</v>
      </c>
      <c r="M4070" t="s">
        <v>92</v>
      </c>
      <c r="N4070" t="s">
        <v>4706</v>
      </c>
      <c r="O4070" t="s">
        <v>22</v>
      </c>
    </row>
    <row r="4071" spans="1:15">
      <c r="A4071" s="6" t="s">
        <v>15</v>
      </c>
      <c r="B4071" s="6" t="str">
        <f>"FES1162692340"</f>
        <v>FES1162692340</v>
      </c>
      <c r="C4071" s="7">
        <v>43613</v>
      </c>
      <c r="D4071" s="6">
        <v>1</v>
      </c>
      <c r="E4071" s="6">
        <v>2170690698</v>
      </c>
      <c r="F4071" s="6" t="s">
        <v>16</v>
      </c>
      <c r="G4071" s="6" t="s">
        <v>17</v>
      </c>
      <c r="H4071" s="6" t="s">
        <v>17</v>
      </c>
      <c r="I4071" s="6" t="s">
        <v>23</v>
      </c>
      <c r="J4071" s="6" t="s">
        <v>101</v>
      </c>
      <c r="K4071" s="7">
        <v>43614</v>
      </c>
      <c r="L4071" s="8">
        <v>0.37222222222222223</v>
      </c>
      <c r="M4071" s="6" t="s">
        <v>4707</v>
      </c>
      <c r="N4071" s="14" t="s">
        <v>21</v>
      </c>
      <c r="O4071" s="6" t="s">
        <v>22</v>
      </c>
    </row>
    <row r="4072" spans="1:15">
      <c r="A4072" s="6" t="s">
        <v>15</v>
      </c>
      <c r="B4072" s="6" t="str">
        <f>"FES1162692337"</f>
        <v>FES1162692337</v>
      </c>
      <c r="C4072" s="7">
        <v>43613</v>
      </c>
      <c r="D4072" s="6">
        <v>1</v>
      </c>
      <c r="E4072" s="6">
        <v>2170690692</v>
      </c>
      <c r="F4072" s="6" t="s">
        <v>16</v>
      </c>
      <c r="G4072" s="6" t="s">
        <v>17</v>
      </c>
      <c r="H4072" s="6" t="s">
        <v>17</v>
      </c>
      <c r="I4072" s="6" t="s">
        <v>67</v>
      </c>
      <c r="J4072" s="6" t="s">
        <v>68</v>
      </c>
      <c r="K4072" s="7">
        <v>43614</v>
      </c>
      <c r="L4072" s="8">
        <v>0.33333333333333331</v>
      </c>
      <c r="M4072" s="6" t="s">
        <v>118</v>
      </c>
      <c r="N4072" s="14" t="s">
        <v>21</v>
      </c>
      <c r="O4072" s="6" t="s">
        <v>22</v>
      </c>
    </row>
    <row r="4073" spans="1:15" hidden="1">
      <c r="A4073" t="s">
        <v>15</v>
      </c>
      <c r="B4073" t="str">
        <f>"FES1162692335"</f>
        <v>FES1162692335</v>
      </c>
      <c r="C4073" s="9">
        <v>43613</v>
      </c>
      <c r="D4073">
        <v>1</v>
      </c>
      <c r="E4073">
        <v>2170690689</v>
      </c>
      <c r="F4073" t="s">
        <v>16</v>
      </c>
      <c r="G4073" t="s">
        <v>17</v>
      </c>
      <c r="H4073" t="s">
        <v>43</v>
      </c>
      <c r="I4073" t="s">
        <v>44</v>
      </c>
      <c r="J4073" t="s">
        <v>1829</v>
      </c>
      <c r="K4073" s="9">
        <v>43614</v>
      </c>
      <c r="L4073" s="10">
        <v>0.3833333333333333</v>
      </c>
      <c r="M4073" t="s">
        <v>4708</v>
      </c>
      <c r="N4073" t="s">
        <v>4709</v>
      </c>
      <c r="O4073" t="s">
        <v>22</v>
      </c>
    </row>
    <row r="4074" spans="1:15">
      <c r="A4074" s="6" t="s">
        <v>15</v>
      </c>
      <c r="B4074" s="6" t="str">
        <f>"FES1162692280"</f>
        <v>FES1162692280</v>
      </c>
      <c r="C4074" s="7">
        <v>43613</v>
      </c>
      <c r="D4074" s="6">
        <v>2</v>
      </c>
      <c r="E4074" s="6">
        <v>2170690621</v>
      </c>
      <c r="F4074" s="6" t="s">
        <v>1433</v>
      </c>
      <c r="G4074" s="6" t="s">
        <v>17</v>
      </c>
      <c r="H4074" s="6" t="s">
        <v>17</v>
      </c>
      <c r="I4074" s="6" t="s">
        <v>64</v>
      </c>
      <c r="J4074" s="6" t="s">
        <v>288</v>
      </c>
      <c r="K4074" s="7">
        <v>43614</v>
      </c>
      <c r="L4074" s="8">
        <v>0.67638888888888893</v>
      </c>
      <c r="M4074" s="6" t="s">
        <v>4512</v>
      </c>
      <c r="N4074" s="14" t="s">
        <v>21</v>
      </c>
      <c r="O4074" s="6" t="s">
        <v>494</v>
      </c>
    </row>
    <row r="4075" spans="1:15" hidden="1">
      <c r="A4075" t="s">
        <v>15</v>
      </c>
      <c r="B4075" t="str">
        <f>"FES1162692338"</f>
        <v>FES1162692338</v>
      </c>
      <c r="C4075" s="9">
        <v>43613</v>
      </c>
      <c r="D4075">
        <v>1</v>
      </c>
      <c r="E4075">
        <v>2170690693</v>
      </c>
      <c r="F4075" t="s">
        <v>16</v>
      </c>
      <c r="G4075" t="s">
        <v>17</v>
      </c>
      <c r="H4075" t="s">
        <v>43</v>
      </c>
      <c r="I4075" t="s">
        <v>44</v>
      </c>
      <c r="J4075" t="s">
        <v>1760</v>
      </c>
      <c r="K4075" s="9">
        <v>43614</v>
      </c>
      <c r="L4075" s="10">
        <v>0.48402777777777778</v>
      </c>
      <c r="M4075" t="s">
        <v>1679</v>
      </c>
      <c r="N4075" t="s">
        <v>4710</v>
      </c>
      <c r="O4075" t="s">
        <v>22</v>
      </c>
    </row>
    <row r="4076" spans="1:15" hidden="1">
      <c r="A4076" t="s">
        <v>15</v>
      </c>
      <c r="B4076" t="str">
        <f>"FES1162692322"</f>
        <v>FES1162692322</v>
      </c>
      <c r="C4076" s="9">
        <v>43613</v>
      </c>
      <c r="D4076">
        <v>1</v>
      </c>
      <c r="E4076">
        <v>2170690673</v>
      </c>
      <c r="F4076" t="s">
        <v>16</v>
      </c>
      <c r="G4076" t="s">
        <v>17</v>
      </c>
      <c r="H4076" t="s">
        <v>290</v>
      </c>
      <c r="I4076" t="s">
        <v>291</v>
      </c>
      <c r="J4076" t="s">
        <v>1030</v>
      </c>
      <c r="K4076" s="9">
        <v>43614</v>
      </c>
      <c r="L4076" s="10">
        <v>0.33333333333333331</v>
      </c>
      <c r="M4076" t="s">
        <v>3722</v>
      </c>
      <c r="N4076" t="s">
        <v>4711</v>
      </c>
      <c r="O4076" t="s">
        <v>22</v>
      </c>
    </row>
    <row r="4077" spans="1:15">
      <c r="A4077" s="6" t="s">
        <v>15</v>
      </c>
      <c r="B4077" s="6" t="str">
        <f>"FES1162692343"</f>
        <v>FES1162692343</v>
      </c>
      <c r="C4077" s="7">
        <v>43613</v>
      </c>
      <c r="D4077" s="6">
        <v>1</v>
      </c>
      <c r="E4077" s="6">
        <v>2170690702</v>
      </c>
      <c r="F4077" s="6" t="s">
        <v>16</v>
      </c>
      <c r="G4077" s="6" t="s">
        <v>17</v>
      </c>
      <c r="H4077" s="6" t="s">
        <v>17</v>
      </c>
      <c r="I4077" s="6" t="s">
        <v>26</v>
      </c>
      <c r="J4077" s="6" t="s">
        <v>4712</v>
      </c>
      <c r="K4077" s="7">
        <v>43614</v>
      </c>
      <c r="L4077" s="8">
        <v>0.33333333333333331</v>
      </c>
      <c r="M4077" s="6" t="s">
        <v>4713</v>
      </c>
      <c r="N4077" s="14" t="s">
        <v>21</v>
      </c>
      <c r="O4077" s="6" t="s">
        <v>22</v>
      </c>
    </row>
    <row r="4078" spans="1:15" ht="15.75" thickBot="1">
      <c r="A4078" s="11" t="s">
        <v>15</v>
      </c>
      <c r="B4078" s="11" t="str">
        <f>"FES1162692344"</f>
        <v>FES1162692344</v>
      </c>
      <c r="C4078" s="12">
        <v>43613</v>
      </c>
      <c r="D4078" s="11">
        <v>1</v>
      </c>
      <c r="E4078" s="11">
        <v>2170690706</v>
      </c>
      <c r="F4078" s="11" t="s">
        <v>16</v>
      </c>
      <c r="G4078" s="11" t="s">
        <v>17</v>
      </c>
      <c r="H4078" s="11" t="s">
        <v>17</v>
      </c>
      <c r="I4078" s="11" t="s">
        <v>64</v>
      </c>
      <c r="J4078" s="11" t="s">
        <v>4696</v>
      </c>
      <c r="K4078" s="12">
        <v>43614</v>
      </c>
      <c r="L4078" s="13">
        <v>0.42499999999999999</v>
      </c>
      <c r="M4078" s="11" t="s">
        <v>4714</v>
      </c>
      <c r="N4078" s="11" t="s">
        <v>21</v>
      </c>
      <c r="O4078" s="11" t="s">
        <v>22</v>
      </c>
    </row>
    <row r="4079" spans="1:15" hidden="1">
      <c r="A4079" t="s">
        <v>15</v>
      </c>
      <c r="B4079" t="str">
        <f>"009938886976"</f>
        <v>009938886976</v>
      </c>
      <c r="C4079" s="9">
        <v>43613</v>
      </c>
      <c r="D4079">
        <v>1</v>
      </c>
      <c r="E4079" t="s">
        <v>1064</v>
      </c>
      <c r="F4079" t="s">
        <v>58</v>
      </c>
      <c r="G4079" t="s">
        <v>43</v>
      </c>
      <c r="H4079" t="s">
        <v>3592</v>
      </c>
      <c r="I4079" t="s">
        <v>771</v>
      </c>
      <c r="J4079" t="s">
        <v>4715</v>
      </c>
      <c r="K4079" s="9">
        <v>43614</v>
      </c>
      <c r="L4079" s="10">
        <v>0.45833333333333331</v>
      </c>
      <c r="M4079" t="s">
        <v>4716</v>
      </c>
      <c r="N4079" t="s">
        <v>4717</v>
      </c>
      <c r="O4079" t="s">
        <v>22</v>
      </c>
    </row>
    <row r="4080" spans="1:15" hidden="1">
      <c r="A4080" s="6" t="s">
        <v>15</v>
      </c>
      <c r="B4080" s="6" t="str">
        <f>"FES1162692604"</f>
        <v>FES1162692604</v>
      </c>
      <c r="C4080" s="7">
        <v>43614</v>
      </c>
      <c r="D4080" s="6">
        <v>1</v>
      </c>
      <c r="E4080" s="6">
        <v>2170690861</v>
      </c>
      <c r="F4080" s="6" t="s">
        <v>16</v>
      </c>
      <c r="G4080" s="6" t="s">
        <v>17</v>
      </c>
      <c r="H4080" s="6" t="s">
        <v>32</v>
      </c>
      <c r="I4080" s="6" t="s">
        <v>33</v>
      </c>
      <c r="J4080" s="6" t="s">
        <v>360</v>
      </c>
      <c r="K4080" s="7">
        <v>43615</v>
      </c>
      <c r="L4080" s="8">
        <v>0.35347222222222219</v>
      </c>
      <c r="M4080" s="6" t="s">
        <v>360</v>
      </c>
      <c r="N4080" s="14" t="s">
        <v>21</v>
      </c>
      <c r="O4080" s="6" t="s">
        <v>22</v>
      </c>
    </row>
    <row r="4081" spans="1:15" hidden="1">
      <c r="A4081" s="6" t="s">
        <v>15</v>
      </c>
      <c r="B4081" s="6" t="str">
        <f>"FES1162692598"</f>
        <v>FES1162692598</v>
      </c>
      <c r="C4081" s="7">
        <v>43614</v>
      </c>
      <c r="D4081" s="6">
        <v>1</v>
      </c>
      <c r="E4081" s="6">
        <v>2170689318</v>
      </c>
      <c r="F4081" s="6" t="s">
        <v>16</v>
      </c>
      <c r="G4081" s="6" t="s">
        <v>17</v>
      </c>
      <c r="H4081" s="6" t="s">
        <v>43</v>
      </c>
      <c r="I4081" s="6" t="s">
        <v>60</v>
      </c>
      <c r="J4081" s="6" t="s">
        <v>409</v>
      </c>
      <c r="K4081" s="6" t="s">
        <v>1730</v>
      </c>
      <c r="L4081" s="6"/>
      <c r="M4081" s="6" t="s">
        <v>1731</v>
      </c>
      <c r="N4081" s="6" t="s">
        <v>4718</v>
      </c>
      <c r="O4081" s="6" t="s">
        <v>22</v>
      </c>
    </row>
    <row r="4082" spans="1:15" hidden="1">
      <c r="A4082" s="6" t="s">
        <v>15</v>
      </c>
      <c r="B4082" s="6" t="str">
        <f>"FES1162692363"</f>
        <v>FES1162692363</v>
      </c>
      <c r="C4082" s="7">
        <v>43614</v>
      </c>
      <c r="D4082" s="6">
        <v>1</v>
      </c>
      <c r="E4082" s="6">
        <v>2170690714</v>
      </c>
      <c r="F4082" s="6" t="s">
        <v>16</v>
      </c>
      <c r="G4082" s="6" t="s">
        <v>17</v>
      </c>
      <c r="H4082" s="6" t="s">
        <v>141</v>
      </c>
      <c r="I4082" s="6" t="s">
        <v>142</v>
      </c>
      <c r="J4082" s="6" t="s">
        <v>917</v>
      </c>
      <c r="K4082" s="7">
        <v>43615</v>
      </c>
      <c r="L4082" s="8">
        <v>0.3444444444444445</v>
      </c>
      <c r="M4082" s="6" t="s">
        <v>2689</v>
      </c>
      <c r="N4082" s="14" t="s">
        <v>21</v>
      </c>
      <c r="O4082" s="6" t="s">
        <v>22</v>
      </c>
    </row>
    <row r="4083" spans="1:15" hidden="1">
      <c r="A4083" s="14" t="s">
        <v>15</v>
      </c>
      <c r="B4083" s="14" t="str">
        <f>"FES1162692635"</f>
        <v>FES1162692635</v>
      </c>
      <c r="C4083" s="15">
        <v>43614</v>
      </c>
      <c r="D4083" s="14">
        <v>1</v>
      </c>
      <c r="E4083" s="14">
        <v>2170690889</v>
      </c>
      <c r="F4083" s="14" t="s">
        <v>16</v>
      </c>
      <c r="G4083" s="14" t="s">
        <v>17</v>
      </c>
      <c r="H4083" s="14" t="s">
        <v>290</v>
      </c>
      <c r="I4083" s="14" t="s">
        <v>309</v>
      </c>
      <c r="J4083" s="14" t="s">
        <v>2080</v>
      </c>
      <c r="K4083" s="14" t="s">
        <v>1730</v>
      </c>
      <c r="L4083" s="14"/>
      <c r="M4083" s="14" t="s">
        <v>1731</v>
      </c>
      <c r="N4083" s="14" t="s">
        <v>4718</v>
      </c>
      <c r="O4083" s="14" t="s">
        <v>22</v>
      </c>
    </row>
    <row r="4084" spans="1:15" hidden="1">
      <c r="A4084" s="6" t="s">
        <v>15</v>
      </c>
      <c r="B4084" s="6" t="str">
        <f>"FES1162692604"</f>
        <v>FES1162692604</v>
      </c>
      <c r="C4084" s="7">
        <v>43614</v>
      </c>
      <c r="D4084" s="6">
        <v>1</v>
      </c>
      <c r="E4084" s="6">
        <v>2170690861</v>
      </c>
      <c r="F4084" s="6" t="s">
        <v>16</v>
      </c>
      <c r="G4084" s="6" t="s">
        <v>17</v>
      </c>
      <c r="H4084" s="6" t="s">
        <v>32</v>
      </c>
      <c r="I4084" s="6" t="s">
        <v>33</v>
      </c>
      <c r="J4084" s="6" t="s">
        <v>360</v>
      </c>
      <c r="K4084" s="7">
        <v>43615</v>
      </c>
      <c r="L4084" s="8">
        <v>0.35069444444444442</v>
      </c>
      <c r="M4084" s="6" t="s">
        <v>361</v>
      </c>
      <c r="N4084" s="14" t="s">
        <v>21</v>
      </c>
      <c r="O4084" s="6" t="s">
        <v>22</v>
      </c>
    </row>
    <row r="4085" spans="1:15" hidden="1">
      <c r="A4085" t="s">
        <v>15</v>
      </c>
      <c r="B4085" t="str">
        <f>"FES1162692598"</f>
        <v>FES1162692598</v>
      </c>
      <c r="C4085" s="9">
        <v>43614</v>
      </c>
      <c r="D4085">
        <v>1</v>
      </c>
      <c r="E4085">
        <v>2170689318</v>
      </c>
      <c r="F4085" t="s">
        <v>16</v>
      </c>
      <c r="G4085" t="s">
        <v>17</v>
      </c>
      <c r="H4085" t="s">
        <v>43</v>
      </c>
      <c r="I4085" t="s">
        <v>60</v>
      </c>
      <c r="J4085" t="s">
        <v>409</v>
      </c>
      <c r="K4085" t="s">
        <v>1730</v>
      </c>
      <c r="L4085"/>
      <c r="M4085" t="s">
        <v>1731</v>
      </c>
      <c r="N4085" t="s">
        <v>4719</v>
      </c>
      <c r="O4085" t="s">
        <v>22</v>
      </c>
    </row>
    <row r="4086" spans="1:15" hidden="1">
      <c r="A4086" t="s">
        <v>15</v>
      </c>
      <c r="B4086" t="str">
        <f>"FES1162692363"</f>
        <v>FES1162692363</v>
      </c>
      <c r="C4086" s="9">
        <v>43614</v>
      </c>
      <c r="D4086">
        <v>1</v>
      </c>
      <c r="E4086">
        <v>2170690714</v>
      </c>
      <c r="F4086" t="s">
        <v>16</v>
      </c>
      <c r="G4086" t="s">
        <v>17</v>
      </c>
      <c r="H4086" t="s">
        <v>141</v>
      </c>
      <c r="I4086" t="s">
        <v>142</v>
      </c>
      <c r="J4086" t="s">
        <v>917</v>
      </c>
      <c r="K4086" s="9">
        <v>43615</v>
      </c>
      <c r="L4086" s="10">
        <v>0.3444444444444445</v>
      </c>
      <c r="M4086" t="s">
        <v>2689</v>
      </c>
      <c r="N4086" t="s">
        <v>4720</v>
      </c>
      <c r="O4086" t="s">
        <v>22</v>
      </c>
    </row>
    <row r="4087" spans="1:15" hidden="1">
      <c r="A4087" s="14" t="s">
        <v>15</v>
      </c>
      <c r="B4087" s="14" t="str">
        <f>"FES1162692635"</f>
        <v>FES1162692635</v>
      </c>
      <c r="C4087" s="15">
        <v>43614</v>
      </c>
      <c r="D4087" s="14">
        <v>1</v>
      </c>
      <c r="E4087" s="14">
        <v>2170690889</v>
      </c>
      <c r="F4087" s="14" t="s">
        <v>16</v>
      </c>
      <c r="G4087" s="14" t="s">
        <v>17</v>
      </c>
      <c r="H4087" s="14" t="s">
        <v>290</v>
      </c>
      <c r="I4087" s="14" t="s">
        <v>309</v>
      </c>
      <c r="J4087" s="14" t="s">
        <v>2080</v>
      </c>
      <c r="K4087" s="15">
        <v>43615</v>
      </c>
      <c r="L4087" s="16">
        <v>0.4236111111111111</v>
      </c>
      <c r="M4087" s="14" t="s">
        <v>4721</v>
      </c>
      <c r="N4087" s="14" t="s">
        <v>21</v>
      </c>
      <c r="O4087" s="14" t="s">
        <v>22</v>
      </c>
    </row>
    <row r="4088" spans="1:15">
      <c r="A4088" s="6" t="s">
        <v>15</v>
      </c>
      <c r="B4088" s="6" t="str">
        <f>"RFES1162691917"</f>
        <v>RFES1162691917</v>
      </c>
      <c r="C4088" s="7">
        <v>43614</v>
      </c>
      <c r="D4088" s="6">
        <v>1</v>
      </c>
      <c r="E4088" s="6">
        <v>217690238</v>
      </c>
      <c r="F4088" s="6" t="s">
        <v>16</v>
      </c>
      <c r="G4088" s="6" t="s">
        <v>17</v>
      </c>
      <c r="H4088" s="6" t="s">
        <v>17</v>
      </c>
      <c r="I4088" s="6" t="s">
        <v>64</v>
      </c>
      <c r="J4088" s="6" t="s">
        <v>476</v>
      </c>
      <c r="K4088" s="7">
        <v>43615</v>
      </c>
      <c r="L4088" s="8">
        <v>0.33333333333333331</v>
      </c>
      <c r="M4088" s="6" t="s">
        <v>2037</v>
      </c>
      <c r="N4088" s="6" t="s">
        <v>21</v>
      </c>
      <c r="O4088" s="6" t="s">
        <v>22</v>
      </c>
    </row>
    <row r="4089" spans="1:15" hidden="1">
      <c r="A4089" t="s">
        <v>15</v>
      </c>
      <c r="B4089" t="str">
        <f>"009938161577"</f>
        <v>009938161577</v>
      </c>
      <c r="C4089" s="9">
        <v>43614</v>
      </c>
      <c r="D4089">
        <v>1</v>
      </c>
      <c r="E4089" t="s">
        <v>4722</v>
      </c>
      <c r="F4089" t="s">
        <v>58</v>
      </c>
      <c r="G4089" t="s">
        <v>2986</v>
      </c>
      <c r="H4089" t="s">
        <v>59</v>
      </c>
      <c r="I4089" t="s">
        <v>64</v>
      </c>
      <c r="J4089" t="s">
        <v>1061</v>
      </c>
      <c r="K4089" s="9">
        <v>43615</v>
      </c>
      <c r="L4089" s="10">
        <v>0.39374999999999999</v>
      </c>
      <c r="M4089" t="s">
        <v>2037</v>
      </c>
      <c r="N4089" t="s">
        <v>4723</v>
      </c>
      <c r="O4089" t="s">
        <v>22</v>
      </c>
    </row>
    <row r="4090" spans="1:15" hidden="1">
      <c r="A4090" t="s">
        <v>15</v>
      </c>
      <c r="B4090" t="str">
        <f>"009935723276"</f>
        <v>009935723276</v>
      </c>
      <c r="C4090" s="9">
        <v>43614</v>
      </c>
      <c r="D4090">
        <v>1</v>
      </c>
      <c r="E4090">
        <v>1162691982</v>
      </c>
      <c r="F4090" t="s">
        <v>16</v>
      </c>
      <c r="G4090" t="s">
        <v>17</v>
      </c>
      <c r="H4090" t="s">
        <v>43</v>
      </c>
      <c r="I4090" t="s">
        <v>44</v>
      </c>
      <c r="J4090" t="s">
        <v>236</v>
      </c>
      <c r="K4090" s="9">
        <v>43615</v>
      </c>
      <c r="L4090" s="10">
        <v>0.41666666666666669</v>
      </c>
      <c r="M4090" t="s">
        <v>2091</v>
      </c>
      <c r="N4090" t="s">
        <v>4724</v>
      </c>
      <c r="O4090" t="s">
        <v>22</v>
      </c>
    </row>
    <row r="4091" spans="1:15" hidden="1">
      <c r="A4091" t="s">
        <v>15</v>
      </c>
      <c r="B4091" t="str">
        <f>"FES1162692310"</f>
        <v>FES1162692310</v>
      </c>
      <c r="C4091" s="9">
        <v>43614</v>
      </c>
      <c r="D4091">
        <v>1</v>
      </c>
      <c r="E4091">
        <v>2170689401</v>
      </c>
      <c r="F4091" t="s">
        <v>16</v>
      </c>
      <c r="G4091" t="s">
        <v>17</v>
      </c>
      <c r="H4091" t="s">
        <v>32</v>
      </c>
      <c r="I4091" t="s">
        <v>33</v>
      </c>
      <c r="J4091" t="s">
        <v>365</v>
      </c>
      <c r="K4091" s="9">
        <v>43615</v>
      </c>
      <c r="L4091" s="10">
        <v>0.3888888888888889</v>
      </c>
      <c r="M4091" t="s">
        <v>1658</v>
      </c>
      <c r="N4091" t="s">
        <v>4725</v>
      </c>
      <c r="O4091" t="s">
        <v>22</v>
      </c>
    </row>
    <row r="4092" spans="1:15" hidden="1">
      <c r="A4092" t="s">
        <v>15</v>
      </c>
      <c r="B4092" t="str">
        <f>"FES1162692446"</f>
        <v>FES1162692446</v>
      </c>
      <c r="C4092" s="9">
        <v>43614</v>
      </c>
      <c r="D4092">
        <v>1</v>
      </c>
      <c r="E4092">
        <v>2170689329</v>
      </c>
      <c r="F4092" t="s">
        <v>16</v>
      </c>
      <c r="G4092" t="s">
        <v>17</v>
      </c>
      <c r="H4092" t="s">
        <v>43</v>
      </c>
      <c r="I4092" t="s">
        <v>44</v>
      </c>
      <c r="J4092" t="s">
        <v>3770</v>
      </c>
      <c r="K4092" s="9">
        <v>43615</v>
      </c>
      <c r="L4092" s="10">
        <v>0.41875000000000001</v>
      </c>
      <c r="M4092" t="s">
        <v>4594</v>
      </c>
      <c r="N4092" t="s">
        <v>4726</v>
      </c>
      <c r="O4092" t="s">
        <v>22</v>
      </c>
    </row>
    <row r="4093" spans="1:15" hidden="1">
      <c r="A4093" s="6" t="s">
        <v>15</v>
      </c>
      <c r="B4093" s="6" t="str">
        <f>"FES1162692359"</f>
        <v>FES1162692359</v>
      </c>
      <c r="C4093" s="7">
        <v>43614</v>
      </c>
      <c r="D4093" s="6">
        <v>1</v>
      </c>
      <c r="E4093" s="6">
        <v>2170690707</v>
      </c>
      <c r="F4093" s="6" t="s">
        <v>16</v>
      </c>
      <c r="G4093" s="6" t="s">
        <v>17</v>
      </c>
      <c r="H4093" s="6" t="s">
        <v>43</v>
      </c>
      <c r="I4093" s="6" t="s">
        <v>60</v>
      </c>
      <c r="J4093" s="6" t="s">
        <v>61</v>
      </c>
      <c r="K4093" s="7">
        <v>43615</v>
      </c>
      <c r="L4093" s="8">
        <v>0.41875000000000001</v>
      </c>
      <c r="M4093" s="6" t="s">
        <v>4727</v>
      </c>
      <c r="N4093" s="6" t="s">
        <v>21</v>
      </c>
      <c r="O4093" s="6" t="s">
        <v>22</v>
      </c>
    </row>
    <row r="4094" spans="1:15" hidden="1">
      <c r="A4094" t="s">
        <v>15</v>
      </c>
      <c r="B4094" t="str">
        <f>"FES1162692508"</f>
        <v>FES1162692508</v>
      </c>
      <c r="C4094" s="9">
        <v>43614</v>
      </c>
      <c r="D4094">
        <v>1</v>
      </c>
      <c r="E4094">
        <v>2170688758</v>
      </c>
      <c r="F4094" t="s">
        <v>16</v>
      </c>
      <c r="G4094" t="s">
        <v>17</v>
      </c>
      <c r="H4094" t="s">
        <v>43</v>
      </c>
      <c r="I4094" t="s">
        <v>44</v>
      </c>
      <c r="J4094" t="s">
        <v>1605</v>
      </c>
      <c r="K4094" s="9">
        <v>43615</v>
      </c>
      <c r="L4094" s="10">
        <v>0.52777777777777779</v>
      </c>
      <c r="M4094" t="s">
        <v>4728</v>
      </c>
      <c r="N4094" t="s">
        <v>4729</v>
      </c>
      <c r="O4094" t="s">
        <v>22</v>
      </c>
    </row>
    <row r="4095" spans="1:15" hidden="1">
      <c r="A4095" t="s">
        <v>15</v>
      </c>
      <c r="B4095" t="str">
        <f>"FES1162692472"</f>
        <v>FES1162692472</v>
      </c>
      <c r="C4095" s="9">
        <v>43614</v>
      </c>
      <c r="D4095">
        <v>1</v>
      </c>
      <c r="E4095">
        <v>21706988137</v>
      </c>
      <c r="F4095" t="s">
        <v>16</v>
      </c>
      <c r="G4095" t="s">
        <v>17</v>
      </c>
      <c r="H4095" t="s">
        <v>43</v>
      </c>
      <c r="I4095" t="s">
        <v>44</v>
      </c>
      <c r="J4095" t="s">
        <v>3615</v>
      </c>
      <c r="K4095" s="9">
        <v>43615</v>
      </c>
      <c r="L4095" s="10">
        <v>0.34791666666666665</v>
      </c>
      <c r="M4095" t="s">
        <v>4624</v>
      </c>
      <c r="N4095" t="s">
        <v>4730</v>
      </c>
      <c r="O4095" t="s">
        <v>22</v>
      </c>
    </row>
    <row r="4096" spans="1:15" hidden="1">
      <c r="A4096" t="s">
        <v>15</v>
      </c>
      <c r="B4096" t="str">
        <f>"FES1162692560"</f>
        <v>FES1162692560</v>
      </c>
      <c r="C4096" s="9">
        <v>43614</v>
      </c>
      <c r="D4096">
        <v>1</v>
      </c>
      <c r="E4096">
        <v>2170690807</v>
      </c>
      <c r="F4096" t="s">
        <v>16</v>
      </c>
      <c r="G4096" t="s">
        <v>17</v>
      </c>
      <c r="H4096" t="s">
        <v>43</v>
      </c>
      <c r="I4096" t="s">
        <v>75</v>
      </c>
      <c r="J4096" t="s">
        <v>76</v>
      </c>
      <c r="K4096" s="9">
        <v>43615</v>
      </c>
      <c r="L4096" s="10">
        <v>0.48541666666666666</v>
      </c>
      <c r="M4096" t="s">
        <v>4731</v>
      </c>
      <c r="N4096" t="s">
        <v>4732</v>
      </c>
      <c r="O4096" t="s">
        <v>22</v>
      </c>
    </row>
    <row r="4097" spans="1:15">
      <c r="A4097" s="6" t="s">
        <v>15</v>
      </c>
      <c r="B4097" s="6" t="str">
        <f>"FES1162692516"</f>
        <v>FES1162692516</v>
      </c>
      <c r="C4097" s="7">
        <v>43614</v>
      </c>
      <c r="D4097" s="6">
        <v>1</v>
      </c>
      <c r="E4097" s="6">
        <v>2170688829</v>
      </c>
      <c r="F4097" s="6" t="s">
        <v>16</v>
      </c>
      <c r="G4097" s="6" t="s">
        <v>17</v>
      </c>
      <c r="H4097" s="6" t="s">
        <v>17</v>
      </c>
      <c r="I4097" s="6" t="s">
        <v>18</v>
      </c>
      <c r="J4097" s="6" t="s">
        <v>335</v>
      </c>
      <c r="K4097" s="7">
        <v>43615</v>
      </c>
      <c r="L4097" s="8">
        <v>0.33333333333333331</v>
      </c>
      <c r="M4097" s="6" t="s">
        <v>4733</v>
      </c>
      <c r="N4097" s="6" t="s">
        <v>21</v>
      </c>
      <c r="O4097" s="6" t="s">
        <v>22</v>
      </c>
    </row>
    <row r="4098" spans="1:15" hidden="1">
      <c r="A4098" s="3" t="s">
        <v>15</v>
      </c>
      <c r="B4098" s="3" t="str">
        <f>"FES1162692376"</f>
        <v>FES1162692376</v>
      </c>
      <c r="C4098" s="4">
        <v>43614</v>
      </c>
      <c r="D4098" s="3">
        <v>1</v>
      </c>
      <c r="E4098" s="3">
        <v>2170690735</v>
      </c>
      <c r="F4098" s="3" t="s">
        <v>16</v>
      </c>
      <c r="G4098" s="3" t="s">
        <v>17</v>
      </c>
      <c r="H4098" s="3" t="s">
        <v>43</v>
      </c>
      <c r="I4098" s="3" t="s">
        <v>44</v>
      </c>
      <c r="J4098" s="3" t="s">
        <v>48</v>
      </c>
      <c r="K4098" s="4">
        <v>43615</v>
      </c>
      <c r="L4098" s="5">
        <v>0.34583333333333338</v>
      </c>
      <c r="M4098" s="3" t="s">
        <v>4734</v>
      </c>
      <c r="N4098" s="20" t="s">
        <v>21</v>
      </c>
      <c r="O4098" s="3" t="s">
        <v>22</v>
      </c>
    </row>
    <row r="4099" spans="1:15" hidden="1">
      <c r="A4099" s="6" t="s">
        <v>15</v>
      </c>
      <c r="B4099" s="6" t="str">
        <f>"FES1162692367"</f>
        <v>FES1162692367</v>
      </c>
      <c r="C4099" s="7">
        <v>43614</v>
      </c>
      <c r="D4099" s="6">
        <v>1</v>
      </c>
      <c r="E4099" s="6">
        <v>2170690719</v>
      </c>
      <c r="F4099" s="6" t="s">
        <v>16</v>
      </c>
      <c r="G4099" s="6" t="s">
        <v>17</v>
      </c>
      <c r="H4099" s="6" t="s">
        <v>43</v>
      </c>
      <c r="I4099" s="6" t="s">
        <v>44</v>
      </c>
      <c r="J4099" s="6" t="s">
        <v>48</v>
      </c>
      <c r="K4099" s="7">
        <v>43615</v>
      </c>
      <c r="L4099" s="8">
        <v>0.34583333333333338</v>
      </c>
      <c r="M4099" s="6" t="s">
        <v>4734</v>
      </c>
      <c r="N4099" s="14" t="s">
        <v>21</v>
      </c>
      <c r="O4099" s="6" t="s">
        <v>22</v>
      </c>
    </row>
    <row r="4100" spans="1:15" hidden="1">
      <c r="A4100" t="s">
        <v>15</v>
      </c>
      <c r="B4100" t="str">
        <f>"FES1162692518"</f>
        <v>FES1162692518</v>
      </c>
      <c r="C4100" s="9">
        <v>43614</v>
      </c>
      <c r="D4100">
        <v>1</v>
      </c>
      <c r="E4100">
        <v>2170688856</v>
      </c>
      <c r="F4100" t="s">
        <v>16</v>
      </c>
      <c r="G4100" t="s">
        <v>17</v>
      </c>
      <c r="H4100" t="s">
        <v>43</v>
      </c>
      <c r="I4100" t="s">
        <v>807</v>
      </c>
      <c r="J4100" t="s">
        <v>808</v>
      </c>
      <c r="K4100" s="9">
        <v>43615</v>
      </c>
      <c r="L4100" s="10">
        <v>0.51666666666666672</v>
      </c>
      <c r="M4100" t="s">
        <v>4735</v>
      </c>
      <c r="N4100" t="s">
        <v>4736</v>
      </c>
      <c r="O4100" t="s">
        <v>22</v>
      </c>
    </row>
    <row r="4101" spans="1:15">
      <c r="A4101" s="6" t="s">
        <v>15</v>
      </c>
      <c r="B4101" s="6" t="str">
        <f>"FES1162685157"</f>
        <v>FES1162685157</v>
      </c>
      <c r="C4101" s="7">
        <v>43614</v>
      </c>
      <c r="D4101" s="6">
        <v>1</v>
      </c>
      <c r="E4101" s="6">
        <v>2170682548</v>
      </c>
      <c r="F4101" s="6" t="s">
        <v>16</v>
      </c>
      <c r="G4101" s="6" t="s">
        <v>17</v>
      </c>
      <c r="H4101" s="6" t="s">
        <v>17</v>
      </c>
      <c r="I4101" s="6" t="s">
        <v>18</v>
      </c>
      <c r="J4101" s="6" t="s">
        <v>2372</v>
      </c>
      <c r="K4101" s="7">
        <v>43615</v>
      </c>
      <c r="L4101" s="8">
        <v>0.40416666666666662</v>
      </c>
      <c r="M4101" s="6" t="s">
        <v>2373</v>
      </c>
      <c r="N4101" s="6" t="s">
        <v>21</v>
      </c>
      <c r="O4101" s="6" t="s">
        <v>22</v>
      </c>
    </row>
    <row r="4102" spans="1:15">
      <c r="A4102" s="6" t="s">
        <v>15</v>
      </c>
      <c r="B4102" s="6" t="str">
        <f>"FES1162692486"</f>
        <v>FES1162692486</v>
      </c>
      <c r="C4102" s="7">
        <v>43614</v>
      </c>
      <c r="D4102" s="6">
        <v>1</v>
      </c>
      <c r="E4102" s="6">
        <v>2170688444</v>
      </c>
      <c r="F4102" s="6" t="s">
        <v>16</v>
      </c>
      <c r="G4102" s="6" t="s">
        <v>17</v>
      </c>
      <c r="H4102" s="6" t="s">
        <v>17</v>
      </c>
      <c r="I4102" s="6" t="s">
        <v>64</v>
      </c>
      <c r="J4102" s="6" t="s">
        <v>2006</v>
      </c>
      <c r="K4102" s="7">
        <v>43615</v>
      </c>
      <c r="L4102" s="8">
        <v>0.40625</v>
      </c>
      <c r="M4102" s="6" t="s">
        <v>100</v>
      </c>
      <c r="N4102" s="6" t="s">
        <v>21</v>
      </c>
      <c r="O4102" s="6" t="s">
        <v>22</v>
      </c>
    </row>
    <row r="4103" spans="1:15">
      <c r="A4103" s="6" t="s">
        <v>15</v>
      </c>
      <c r="B4103" s="6" t="str">
        <f>"FES1162692384"</f>
        <v>FES1162692384</v>
      </c>
      <c r="C4103" s="7">
        <v>43614</v>
      </c>
      <c r="D4103" s="6">
        <v>1</v>
      </c>
      <c r="E4103" s="6">
        <v>2170690681</v>
      </c>
      <c r="F4103" s="6" t="s">
        <v>16</v>
      </c>
      <c r="G4103" s="6" t="s">
        <v>17</v>
      </c>
      <c r="H4103" s="6" t="s">
        <v>17</v>
      </c>
      <c r="I4103" s="6" t="s">
        <v>414</v>
      </c>
      <c r="J4103" s="6" t="s">
        <v>4737</v>
      </c>
      <c r="K4103" s="7">
        <v>43615</v>
      </c>
      <c r="L4103" s="8">
        <v>0.4375</v>
      </c>
      <c r="M4103" s="6" t="s">
        <v>915</v>
      </c>
      <c r="N4103" s="6" t="s">
        <v>21</v>
      </c>
      <c r="O4103" s="6" t="s">
        <v>22</v>
      </c>
    </row>
    <row r="4104" spans="1:15" hidden="1">
      <c r="A4104" t="s">
        <v>15</v>
      </c>
      <c r="B4104" t="str">
        <f>"FES1162692345"</f>
        <v>FES1162692345</v>
      </c>
      <c r="C4104" s="9">
        <v>43614</v>
      </c>
      <c r="D4104">
        <v>1</v>
      </c>
      <c r="E4104">
        <v>2170697757</v>
      </c>
      <c r="F4104" t="s">
        <v>16</v>
      </c>
      <c r="G4104" t="s">
        <v>17</v>
      </c>
      <c r="H4104" t="s">
        <v>32</v>
      </c>
      <c r="I4104" t="s">
        <v>33</v>
      </c>
      <c r="J4104" t="s">
        <v>1657</v>
      </c>
      <c r="K4104" s="9">
        <v>43615</v>
      </c>
      <c r="L4104" s="10">
        <v>0.3923611111111111</v>
      </c>
      <c r="M4104" t="s">
        <v>1658</v>
      </c>
      <c r="N4104" t="s">
        <v>4738</v>
      </c>
      <c r="O4104" t="s">
        <v>22</v>
      </c>
    </row>
    <row r="4105" spans="1:15" hidden="1">
      <c r="A4105" s="6" t="s">
        <v>15</v>
      </c>
      <c r="B4105" s="6" t="str">
        <f>"FES1162692327"</f>
        <v>FES1162692327</v>
      </c>
      <c r="C4105" s="7">
        <v>43614</v>
      </c>
      <c r="D4105" s="6">
        <v>1</v>
      </c>
      <c r="E4105" s="6">
        <v>2170690680</v>
      </c>
      <c r="F4105" s="6" t="s">
        <v>16</v>
      </c>
      <c r="G4105" s="6" t="s">
        <v>17</v>
      </c>
      <c r="H4105" s="6" t="s">
        <v>37</v>
      </c>
      <c r="I4105" s="6" t="s">
        <v>38</v>
      </c>
      <c r="J4105" s="6" t="s">
        <v>1027</v>
      </c>
      <c r="K4105" s="7">
        <v>43615</v>
      </c>
      <c r="L4105" s="8">
        <v>0.35416666666666669</v>
      </c>
      <c r="M4105" s="6" t="s">
        <v>4739</v>
      </c>
      <c r="N4105" s="14" t="s">
        <v>21</v>
      </c>
      <c r="O4105" s="6" t="s">
        <v>22</v>
      </c>
    </row>
    <row r="4106" spans="1:15" hidden="1">
      <c r="A4106" t="s">
        <v>15</v>
      </c>
      <c r="B4106" t="str">
        <f>"FES1162692499"</f>
        <v>FES1162692499</v>
      </c>
      <c r="C4106" s="9">
        <v>43614</v>
      </c>
      <c r="D4106">
        <v>1</v>
      </c>
      <c r="E4106">
        <v>2170688601</v>
      </c>
      <c r="F4106" t="s">
        <v>16</v>
      </c>
      <c r="G4106" t="s">
        <v>17</v>
      </c>
      <c r="H4106" t="s">
        <v>43</v>
      </c>
      <c r="I4106" t="s">
        <v>44</v>
      </c>
      <c r="J4106" t="s">
        <v>399</v>
      </c>
      <c r="K4106" s="9">
        <v>43615</v>
      </c>
      <c r="L4106" s="10">
        <v>0.4236111111111111</v>
      </c>
      <c r="M4106" t="s">
        <v>400</v>
      </c>
      <c r="N4106" t="s">
        <v>4740</v>
      </c>
      <c r="O4106" t="s">
        <v>22</v>
      </c>
    </row>
    <row r="4107" spans="1:15">
      <c r="A4107" s="6" t="s">
        <v>15</v>
      </c>
      <c r="B4107" s="6" t="str">
        <f>"FES1162692394"</f>
        <v>FES1162692394</v>
      </c>
      <c r="C4107" s="7">
        <v>43614</v>
      </c>
      <c r="D4107" s="6">
        <v>1</v>
      </c>
      <c r="E4107" s="6">
        <v>2170686135</v>
      </c>
      <c r="F4107" s="6" t="s">
        <v>16</v>
      </c>
      <c r="G4107" s="6" t="s">
        <v>17</v>
      </c>
      <c r="H4107" s="6" t="s">
        <v>17</v>
      </c>
      <c r="I4107" s="6" t="s">
        <v>18</v>
      </c>
      <c r="J4107" s="6" t="s">
        <v>4741</v>
      </c>
      <c r="K4107" s="7">
        <v>43615</v>
      </c>
      <c r="L4107" s="8">
        <v>0.3833333333333333</v>
      </c>
      <c r="M4107" s="6" t="s">
        <v>4742</v>
      </c>
      <c r="N4107" s="6" t="s">
        <v>21</v>
      </c>
      <c r="O4107" s="6" t="s">
        <v>22</v>
      </c>
    </row>
    <row r="4108" spans="1:15" hidden="1">
      <c r="A4108" t="s">
        <v>15</v>
      </c>
      <c r="B4108" t="str">
        <f>"FES1162692449"</f>
        <v>FES1162692449</v>
      </c>
      <c r="C4108" s="9">
        <v>43614</v>
      </c>
      <c r="D4108">
        <v>1</v>
      </c>
      <c r="E4108">
        <v>2170689567</v>
      </c>
      <c r="F4108" t="s">
        <v>16</v>
      </c>
      <c r="G4108" t="s">
        <v>17</v>
      </c>
      <c r="H4108" t="s">
        <v>43</v>
      </c>
      <c r="I4108" t="s">
        <v>44</v>
      </c>
      <c r="J4108" t="s">
        <v>336</v>
      </c>
      <c r="K4108" s="9">
        <v>43615</v>
      </c>
      <c r="L4108" s="10">
        <v>0.35138888888888892</v>
      </c>
      <c r="M4108" t="s">
        <v>337</v>
      </c>
      <c r="N4108" t="s">
        <v>4743</v>
      </c>
      <c r="O4108" t="s">
        <v>22</v>
      </c>
    </row>
    <row r="4109" spans="1:15">
      <c r="A4109" s="6" t="s">
        <v>15</v>
      </c>
      <c r="B4109" s="6" t="str">
        <f>"FES1162692524"</f>
        <v>FES1162692524</v>
      </c>
      <c r="C4109" s="7">
        <v>43614</v>
      </c>
      <c r="D4109" s="6">
        <v>1</v>
      </c>
      <c r="E4109" s="6">
        <v>217689013</v>
      </c>
      <c r="F4109" s="6" t="s">
        <v>16</v>
      </c>
      <c r="G4109" s="6" t="s">
        <v>17</v>
      </c>
      <c r="H4109" s="6" t="s">
        <v>17</v>
      </c>
      <c r="I4109" s="6" t="s">
        <v>18</v>
      </c>
      <c r="J4109" s="6" t="s">
        <v>19</v>
      </c>
      <c r="K4109" s="7">
        <v>43615</v>
      </c>
      <c r="L4109" s="8">
        <v>0.33333333333333331</v>
      </c>
      <c r="M4109" s="6" t="s">
        <v>1327</v>
      </c>
      <c r="N4109" s="6" t="s">
        <v>21</v>
      </c>
      <c r="O4109" s="6" t="s">
        <v>22</v>
      </c>
    </row>
    <row r="4110" spans="1:15" hidden="1">
      <c r="A4110" s="20" t="s">
        <v>15</v>
      </c>
      <c r="B4110" s="20" t="str">
        <f>"FES1162692358"</f>
        <v>FES1162692358</v>
      </c>
      <c r="C4110" s="21">
        <v>43614</v>
      </c>
      <c r="D4110" s="20">
        <v>1</v>
      </c>
      <c r="E4110" s="20">
        <v>2170690705</v>
      </c>
      <c r="F4110" s="20" t="s">
        <v>16</v>
      </c>
      <c r="G4110" s="20" t="s">
        <v>17</v>
      </c>
      <c r="H4110" s="20" t="s">
        <v>32</v>
      </c>
      <c r="I4110" s="20" t="s">
        <v>269</v>
      </c>
      <c r="J4110" s="20" t="s">
        <v>683</v>
      </c>
      <c r="K4110" s="21">
        <v>43615</v>
      </c>
      <c r="L4110" s="22">
        <v>0.3576388888888889</v>
      </c>
      <c r="M4110" s="20" t="s">
        <v>684</v>
      </c>
      <c r="N4110" s="20" t="s">
        <v>21</v>
      </c>
      <c r="O4110" s="20" t="s">
        <v>22</v>
      </c>
    </row>
    <row r="4111" spans="1:15">
      <c r="A4111" s="6" t="s">
        <v>15</v>
      </c>
      <c r="B4111" s="6" t="str">
        <f>"FES1162692519"</f>
        <v>FES1162692519</v>
      </c>
      <c r="C4111" s="7">
        <v>43614</v>
      </c>
      <c r="D4111" s="6">
        <v>1</v>
      </c>
      <c r="E4111" s="6">
        <v>2170688922</v>
      </c>
      <c r="F4111" s="6" t="s">
        <v>16</v>
      </c>
      <c r="G4111" s="6" t="s">
        <v>17</v>
      </c>
      <c r="H4111" s="6" t="s">
        <v>17</v>
      </c>
      <c r="I4111" s="6" t="s">
        <v>18</v>
      </c>
      <c r="J4111" s="6" t="s">
        <v>19</v>
      </c>
      <c r="K4111" s="7">
        <v>43615</v>
      </c>
      <c r="L4111" s="8">
        <v>0.40972222222222227</v>
      </c>
      <c r="M4111" s="6" t="s">
        <v>1327</v>
      </c>
      <c r="N4111" s="6" t="s">
        <v>21</v>
      </c>
      <c r="O4111" s="6" t="s">
        <v>22</v>
      </c>
    </row>
    <row r="4112" spans="1:15" hidden="1">
      <c r="A4112" t="s">
        <v>15</v>
      </c>
      <c r="B4112" t="str">
        <f>"FES1162692329"</f>
        <v>FES1162692329</v>
      </c>
      <c r="C4112" s="9">
        <v>43614</v>
      </c>
      <c r="D4112">
        <v>1</v>
      </c>
      <c r="E4112">
        <v>2170690484</v>
      </c>
      <c r="F4112" t="s">
        <v>16</v>
      </c>
      <c r="G4112" t="s">
        <v>17</v>
      </c>
      <c r="H4112" t="s">
        <v>32</v>
      </c>
      <c r="I4112" t="s">
        <v>1207</v>
      </c>
      <c r="J4112" t="s">
        <v>1208</v>
      </c>
      <c r="K4112" s="9">
        <v>43615</v>
      </c>
      <c r="L4112" t="s">
        <v>4744</v>
      </c>
      <c r="M4112" t="s">
        <v>4745</v>
      </c>
      <c r="N4112" t="s">
        <v>4746</v>
      </c>
      <c r="O4112" t="s">
        <v>22</v>
      </c>
    </row>
    <row r="4113" spans="1:15" hidden="1">
      <c r="A4113" t="s">
        <v>15</v>
      </c>
      <c r="B4113" t="str">
        <f>"FES1162692208"</f>
        <v>FES1162692208</v>
      </c>
      <c r="C4113" s="9">
        <v>43614</v>
      </c>
      <c r="D4113">
        <v>1</v>
      </c>
      <c r="E4113">
        <v>2170689398</v>
      </c>
      <c r="F4113" t="s">
        <v>16</v>
      </c>
      <c r="G4113" t="s">
        <v>17</v>
      </c>
      <c r="H4113" t="s">
        <v>32</v>
      </c>
      <c r="I4113" t="s">
        <v>269</v>
      </c>
      <c r="J4113" t="s">
        <v>683</v>
      </c>
      <c r="K4113" s="9">
        <v>43615</v>
      </c>
      <c r="L4113" s="10">
        <v>0.3576388888888889</v>
      </c>
      <c r="M4113" t="s">
        <v>931</v>
      </c>
      <c r="N4113" t="s">
        <v>4747</v>
      </c>
      <c r="O4113" t="s">
        <v>22</v>
      </c>
    </row>
    <row r="4114" spans="1:15">
      <c r="A4114" s="6" t="s">
        <v>15</v>
      </c>
      <c r="B4114" s="6" t="str">
        <f>"FES1162692511"</f>
        <v>FES1162692511</v>
      </c>
      <c r="C4114" s="7">
        <v>43614</v>
      </c>
      <c r="D4114" s="6">
        <v>1</v>
      </c>
      <c r="E4114" s="6">
        <v>2170688776</v>
      </c>
      <c r="F4114" s="6" t="s">
        <v>16</v>
      </c>
      <c r="G4114" s="6" t="s">
        <v>17</v>
      </c>
      <c r="H4114" s="6" t="s">
        <v>17</v>
      </c>
      <c r="I4114" s="6" t="s">
        <v>64</v>
      </c>
      <c r="J4114" s="6" t="s">
        <v>4555</v>
      </c>
      <c r="K4114" s="7">
        <v>43615</v>
      </c>
      <c r="L4114" s="8">
        <v>0.4055555555555555</v>
      </c>
      <c r="M4114" s="6" t="s">
        <v>3852</v>
      </c>
      <c r="N4114" s="6" t="s">
        <v>21</v>
      </c>
      <c r="O4114" s="6" t="s">
        <v>22</v>
      </c>
    </row>
    <row r="4115" spans="1:15" hidden="1">
      <c r="A4115" s="3" t="s">
        <v>15</v>
      </c>
      <c r="B4115" s="3" t="str">
        <f>"FES1162692331"</f>
        <v>FES1162692331</v>
      </c>
      <c r="C4115" s="4">
        <v>43614</v>
      </c>
      <c r="D4115" s="3">
        <v>1</v>
      </c>
      <c r="E4115" s="3">
        <v>2170690390</v>
      </c>
      <c r="F4115" s="3" t="s">
        <v>16</v>
      </c>
      <c r="G4115" s="3" t="s">
        <v>17</v>
      </c>
      <c r="H4115" s="3" t="s">
        <v>32</v>
      </c>
      <c r="I4115" s="3" t="s">
        <v>1207</v>
      </c>
      <c r="J4115" s="3" t="s">
        <v>1208</v>
      </c>
      <c r="K4115" s="4">
        <v>43615</v>
      </c>
      <c r="L4115" s="3" t="s">
        <v>4744</v>
      </c>
      <c r="M4115" s="3" t="s">
        <v>4745</v>
      </c>
      <c r="N4115" s="20" t="s">
        <v>21</v>
      </c>
      <c r="O4115" s="3" t="s">
        <v>22</v>
      </c>
    </row>
    <row r="4116" spans="1:15" hidden="1">
      <c r="A4116" t="s">
        <v>15</v>
      </c>
      <c r="B4116" t="str">
        <f>"FES1162692492"</f>
        <v>FES1162692492</v>
      </c>
      <c r="C4116" s="9">
        <v>43614</v>
      </c>
      <c r="D4116">
        <v>1</v>
      </c>
      <c r="E4116">
        <v>2170688538</v>
      </c>
      <c r="F4116" t="s">
        <v>16</v>
      </c>
      <c r="G4116" t="s">
        <v>17</v>
      </c>
      <c r="H4116" t="s">
        <v>43</v>
      </c>
      <c r="I4116" t="s">
        <v>44</v>
      </c>
      <c r="J4116" t="s">
        <v>72</v>
      </c>
      <c r="K4116" s="9">
        <v>43615</v>
      </c>
      <c r="L4116" s="10">
        <v>0.49027777777777781</v>
      </c>
      <c r="M4116" t="s">
        <v>514</v>
      </c>
      <c r="N4116" t="s">
        <v>4748</v>
      </c>
      <c r="O4116" t="s">
        <v>22</v>
      </c>
    </row>
    <row r="4117" spans="1:15" hidden="1">
      <c r="A4117" t="s">
        <v>15</v>
      </c>
      <c r="B4117" t="str">
        <f>"FES1162692501"</f>
        <v>FES1162692501</v>
      </c>
      <c r="C4117" s="9">
        <v>43614</v>
      </c>
      <c r="D4117">
        <v>1</v>
      </c>
      <c r="E4117">
        <v>2170688616</v>
      </c>
      <c r="F4117" t="s">
        <v>16</v>
      </c>
      <c r="G4117" t="s">
        <v>17</v>
      </c>
      <c r="H4117" t="s">
        <v>43</v>
      </c>
      <c r="I4117" t="s">
        <v>44</v>
      </c>
      <c r="J4117" t="s">
        <v>860</v>
      </c>
      <c r="K4117" s="9">
        <v>43615</v>
      </c>
      <c r="L4117" s="10">
        <v>0.35555555555555557</v>
      </c>
      <c r="M4117" t="s">
        <v>3574</v>
      </c>
      <c r="N4117" t="s">
        <v>4749</v>
      </c>
      <c r="O4117" t="s">
        <v>22</v>
      </c>
    </row>
    <row r="4118" spans="1:15" hidden="1">
      <c r="A4118" t="s">
        <v>15</v>
      </c>
      <c r="B4118" t="str">
        <f>"FES1162692334"</f>
        <v>FES1162692334</v>
      </c>
      <c r="C4118" s="9">
        <v>43614</v>
      </c>
      <c r="D4118">
        <v>1</v>
      </c>
      <c r="E4118">
        <v>2170690685</v>
      </c>
      <c r="F4118" t="s">
        <v>16</v>
      </c>
      <c r="G4118" t="s">
        <v>17</v>
      </c>
      <c r="H4118" t="s">
        <v>37</v>
      </c>
      <c r="I4118" t="s">
        <v>38</v>
      </c>
      <c r="J4118" t="s">
        <v>2655</v>
      </c>
      <c r="K4118" s="9">
        <v>43615</v>
      </c>
      <c r="L4118" s="10">
        <v>0.3520833333333333</v>
      </c>
      <c r="M4118" t="s">
        <v>4750</v>
      </c>
      <c r="N4118" t="s">
        <v>4751</v>
      </c>
      <c r="O4118" t="s">
        <v>22</v>
      </c>
    </row>
    <row r="4119" spans="1:15">
      <c r="A4119" s="6" t="s">
        <v>15</v>
      </c>
      <c r="B4119" s="6" t="str">
        <f>"FES1162692438"</f>
        <v>FES1162692438</v>
      </c>
      <c r="C4119" s="7">
        <v>43614</v>
      </c>
      <c r="D4119" s="6">
        <v>1</v>
      </c>
      <c r="E4119" s="6">
        <v>2170689906</v>
      </c>
      <c r="F4119" s="6" t="s">
        <v>16</v>
      </c>
      <c r="G4119" s="6" t="s">
        <v>17</v>
      </c>
      <c r="H4119" s="6" t="s">
        <v>17</v>
      </c>
      <c r="I4119" s="6" t="s">
        <v>67</v>
      </c>
      <c r="J4119" s="6" t="s">
        <v>1455</v>
      </c>
      <c r="K4119" s="7">
        <v>43615</v>
      </c>
      <c r="L4119" s="8">
        <v>0.4375</v>
      </c>
      <c r="M4119" s="6" t="s">
        <v>4752</v>
      </c>
      <c r="N4119" s="6" t="s">
        <v>21</v>
      </c>
      <c r="O4119" s="6" t="s">
        <v>22</v>
      </c>
    </row>
    <row r="4120" spans="1:15" hidden="1">
      <c r="A4120" s="3" t="s">
        <v>15</v>
      </c>
      <c r="B4120" s="3" t="str">
        <f>"FES1162692506"</f>
        <v>FES1162692506</v>
      </c>
      <c r="C4120" s="4">
        <v>43614</v>
      </c>
      <c r="D4120" s="3">
        <v>1</v>
      </c>
      <c r="E4120" s="3">
        <v>21706886813</v>
      </c>
      <c r="F4120" s="3" t="s">
        <v>16</v>
      </c>
      <c r="G4120" s="3" t="s">
        <v>17</v>
      </c>
      <c r="H4120" s="3" t="s">
        <v>43</v>
      </c>
      <c r="I4120" s="3" t="s">
        <v>44</v>
      </c>
      <c r="J4120" s="3" t="s">
        <v>51</v>
      </c>
      <c r="K4120" s="4">
        <v>43615</v>
      </c>
      <c r="L4120" s="5">
        <v>0.35625000000000001</v>
      </c>
      <c r="M4120" s="3" t="s">
        <v>646</v>
      </c>
      <c r="N4120" s="20" t="s">
        <v>21</v>
      </c>
      <c r="O4120" s="3" t="s">
        <v>22</v>
      </c>
    </row>
    <row r="4121" spans="1:15" hidden="1">
      <c r="A4121" t="s">
        <v>15</v>
      </c>
      <c r="B4121" t="str">
        <f>"FES1162692368"</f>
        <v>FES1162692368</v>
      </c>
      <c r="C4121" s="9">
        <v>43614</v>
      </c>
      <c r="D4121">
        <v>1</v>
      </c>
      <c r="E4121">
        <v>2170690720</v>
      </c>
      <c r="F4121" t="s">
        <v>16</v>
      </c>
      <c r="G4121" t="s">
        <v>17</v>
      </c>
      <c r="H4121" t="s">
        <v>43</v>
      </c>
      <c r="I4121" t="s">
        <v>738</v>
      </c>
      <c r="J4121" t="s">
        <v>739</v>
      </c>
      <c r="K4121" s="9">
        <v>43615</v>
      </c>
      <c r="L4121" s="10">
        <v>0.375</v>
      </c>
      <c r="M4121" t="s">
        <v>740</v>
      </c>
      <c r="N4121" t="s">
        <v>4753</v>
      </c>
      <c r="O4121" t="s">
        <v>22</v>
      </c>
    </row>
    <row r="4122" spans="1:15" hidden="1">
      <c r="A4122" t="s">
        <v>15</v>
      </c>
      <c r="B4122" t="str">
        <f>"FES1162692392"</f>
        <v>FES1162692392</v>
      </c>
      <c r="C4122" s="9">
        <v>43614</v>
      </c>
      <c r="D4122">
        <v>1</v>
      </c>
      <c r="E4122">
        <v>217690571</v>
      </c>
      <c r="F4122" t="s">
        <v>16</v>
      </c>
      <c r="G4122" t="s">
        <v>17</v>
      </c>
      <c r="H4122" t="s">
        <v>32</v>
      </c>
      <c r="I4122" t="s">
        <v>33</v>
      </c>
      <c r="J4122" t="s">
        <v>360</v>
      </c>
      <c r="K4122" s="9">
        <v>43615</v>
      </c>
      <c r="L4122" s="10">
        <v>0.35069444444444442</v>
      </c>
      <c r="M4122" t="s">
        <v>361</v>
      </c>
      <c r="N4122" t="s">
        <v>4754</v>
      </c>
      <c r="O4122" t="s">
        <v>22</v>
      </c>
    </row>
    <row r="4123" spans="1:15">
      <c r="A4123" s="6" t="s">
        <v>15</v>
      </c>
      <c r="B4123" s="6" t="str">
        <f>"FES1162692541"</f>
        <v>FES1162692541</v>
      </c>
      <c r="C4123" s="7">
        <v>43614</v>
      </c>
      <c r="D4123" s="6">
        <v>1</v>
      </c>
      <c r="E4123" s="6">
        <v>2170690783</v>
      </c>
      <c r="F4123" s="6" t="s">
        <v>16</v>
      </c>
      <c r="G4123" s="6" t="s">
        <v>17</v>
      </c>
      <c r="H4123" s="6" t="s">
        <v>17</v>
      </c>
      <c r="I4123" s="6" t="s">
        <v>18</v>
      </c>
      <c r="J4123" s="6" t="s">
        <v>19</v>
      </c>
      <c r="K4123" s="7">
        <v>43615</v>
      </c>
      <c r="L4123" s="8">
        <v>0.40972222222222227</v>
      </c>
      <c r="M4123" s="6" t="s">
        <v>1327</v>
      </c>
      <c r="N4123" s="6" t="s">
        <v>21</v>
      </c>
      <c r="O4123" s="6" t="s">
        <v>22</v>
      </c>
    </row>
    <row r="4124" spans="1:15">
      <c r="A4124" s="6" t="s">
        <v>15</v>
      </c>
      <c r="B4124" s="6" t="str">
        <f>"FES1162692474"</f>
        <v>FES1162692474</v>
      </c>
      <c r="C4124" s="7">
        <v>43614</v>
      </c>
      <c r="D4124" s="6">
        <v>1</v>
      </c>
      <c r="E4124" s="6">
        <v>2170688189</v>
      </c>
      <c r="F4124" s="6" t="s">
        <v>16</v>
      </c>
      <c r="G4124" s="6" t="s">
        <v>17</v>
      </c>
      <c r="H4124" s="6" t="s">
        <v>17</v>
      </c>
      <c r="I4124" s="6" t="s">
        <v>18</v>
      </c>
      <c r="J4124" s="6" t="s">
        <v>4755</v>
      </c>
      <c r="K4124" s="7">
        <v>43615</v>
      </c>
      <c r="L4124" s="8">
        <v>0.30486111111111108</v>
      </c>
      <c r="M4124" s="6" t="s">
        <v>4756</v>
      </c>
      <c r="N4124" s="6" t="s">
        <v>21</v>
      </c>
      <c r="O4124" s="6" t="s">
        <v>22</v>
      </c>
    </row>
    <row r="4125" spans="1:15" hidden="1">
      <c r="A4125" s="3" t="s">
        <v>15</v>
      </c>
      <c r="B4125" s="3" t="str">
        <f>"FES1162692365"</f>
        <v>FES1162692365</v>
      </c>
      <c r="C4125" s="4">
        <v>43614</v>
      </c>
      <c r="D4125" s="3">
        <v>1</v>
      </c>
      <c r="E4125" s="3">
        <v>2170690717</v>
      </c>
      <c r="F4125" s="3" t="s">
        <v>16</v>
      </c>
      <c r="G4125" s="3" t="s">
        <v>17</v>
      </c>
      <c r="H4125" s="3" t="s">
        <v>43</v>
      </c>
      <c r="I4125" s="3" t="s">
        <v>54</v>
      </c>
      <c r="J4125" s="3" t="s">
        <v>55</v>
      </c>
      <c r="K4125" s="4">
        <v>43615</v>
      </c>
      <c r="L4125" s="5">
        <v>0.33333333333333331</v>
      </c>
      <c r="M4125" s="3" t="s">
        <v>729</v>
      </c>
      <c r="N4125" s="20" t="s">
        <v>21</v>
      </c>
      <c r="O4125" s="3" t="s">
        <v>22</v>
      </c>
    </row>
    <row r="4126" spans="1:15" hidden="1">
      <c r="A4126" s="6" t="s">
        <v>15</v>
      </c>
      <c r="B4126" s="6" t="str">
        <f>"FES1162692515"</f>
        <v>FES1162692515</v>
      </c>
      <c r="C4126" s="7">
        <v>43614</v>
      </c>
      <c r="D4126" s="6">
        <v>1</v>
      </c>
      <c r="E4126" s="6">
        <v>2170688819</v>
      </c>
      <c r="F4126" s="6" t="s">
        <v>16</v>
      </c>
      <c r="G4126" s="6" t="s">
        <v>17</v>
      </c>
      <c r="H4126" s="6" t="s">
        <v>43</v>
      </c>
      <c r="I4126" s="6" t="s">
        <v>44</v>
      </c>
      <c r="J4126" s="6" t="s">
        <v>3386</v>
      </c>
      <c r="K4126" s="7">
        <v>43615</v>
      </c>
      <c r="L4126" s="8">
        <v>0.40486111111111112</v>
      </c>
      <c r="M4126" s="6" t="s">
        <v>4757</v>
      </c>
      <c r="N4126" s="14" t="s">
        <v>21</v>
      </c>
      <c r="O4126" s="6" t="s">
        <v>22</v>
      </c>
    </row>
    <row r="4127" spans="1:15" hidden="1">
      <c r="A4127" t="s">
        <v>15</v>
      </c>
      <c r="B4127" t="str">
        <f>"FES1162692517"</f>
        <v>FES1162692517</v>
      </c>
      <c r="C4127" s="9">
        <v>43614</v>
      </c>
      <c r="D4127">
        <v>1</v>
      </c>
      <c r="E4127">
        <v>2170688852</v>
      </c>
      <c r="F4127" t="s">
        <v>16</v>
      </c>
      <c r="G4127" t="s">
        <v>17</v>
      </c>
      <c r="H4127" t="s">
        <v>43</v>
      </c>
      <c r="I4127" t="s">
        <v>44</v>
      </c>
      <c r="J4127" t="s">
        <v>1829</v>
      </c>
      <c r="K4127" s="9">
        <v>43615</v>
      </c>
      <c r="L4127" s="10">
        <v>0.4375</v>
      </c>
      <c r="M4127" t="s">
        <v>4708</v>
      </c>
      <c r="N4127" t="s">
        <v>4758</v>
      </c>
      <c r="O4127" t="s">
        <v>22</v>
      </c>
    </row>
    <row r="4128" spans="1:15">
      <c r="A4128" s="6" t="s">
        <v>15</v>
      </c>
      <c r="B4128" s="6" t="str">
        <f>"FES1162692484"</f>
        <v>FES1162692484</v>
      </c>
      <c r="C4128" s="7">
        <v>43614</v>
      </c>
      <c r="D4128" s="6">
        <v>1</v>
      </c>
      <c r="E4128" s="6">
        <v>2170688436</v>
      </c>
      <c r="F4128" s="6" t="s">
        <v>16</v>
      </c>
      <c r="G4128" s="6" t="s">
        <v>17</v>
      </c>
      <c r="H4128" s="6" t="s">
        <v>17</v>
      </c>
      <c r="I4128" s="6" t="s">
        <v>148</v>
      </c>
      <c r="J4128" s="6" t="s">
        <v>164</v>
      </c>
      <c r="K4128" s="7">
        <v>43615</v>
      </c>
      <c r="L4128" s="8">
        <v>0.70277777777777783</v>
      </c>
      <c r="M4128" s="6" t="s">
        <v>3404</v>
      </c>
      <c r="N4128" s="6" t="s">
        <v>21</v>
      </c>
      <c r="O4128" s="6" t="s">
        <v>22</v>
      </c>
    </row>
    <row r="4129" spans="1:15">
      <c r="A4129" s="6" t="s">
        <v>15</v>
      </c>
      <c r="B4129" s="6" t="str">
        <f>"FES1162692509"</f>
        <v>FES1162692509</v>
      </c>
      <c r="C4129" s="7">
        <v>43614</v>
      </c>
      <c r="D4129" s="6">
        <v>1</v>
      </c>
      <c r="E4129" s="6">
        <v>2170688770</v>
      </c>
      <c r="F4129" s="6" t="s">
        <v>16</v>
      </c>
      <c r="G4129" s="6" t="s">
        <v>17</v>
      </c>
      <c r="H4129" s="6" t="s">
        <v>17</v>
      </c>
      <c r="I4129" s="6" t="s">
        <v>103</v>
      </c>
      <c r="J4129" s="6" t="s">
        <v>776</v>
      </c>
      <c r="K4129" s="7">
        <v>43615</v>
      </c>
      <c r="L4129" s="8">
        <v>0.4375</v>
      </c>
      <c r="M4129" s="6" t="s">
        <v>4759</v>
      </c>
      <c r="N4129" s="6" t="s">
        <v>21</v>
      </c>
      <c r="O4129" s="6" t="s">
        <v>22</v>
      </c>
    </row>
    <row r="4130" spans="1:15">
      <c r="A4130" s="6" t="s">
        <v>15</v>
      </c>
      <c r="B4130" s="6" t="str">
        <f>"FES1162692537"</f>
        <v>FES1162692537</v>
      </c>
      <c r="C4130" s="7">
        <v>43614</v>
      </c>
      <c r="D4130" s="6">
        <v>1</v>
      </c>
      <c r="E4130" s="6">
        <v>2170690779</v>
      </c>
      <c r="F4130" s="6" t="s">
        <v>16</v>
      </c>
      <c r="G4130" s="6" t="s">
        <v>17</v>
      </c>
      <c r="H4130" s="6" t="s">
        <v>17</v>
      </c>
      <c r="I4130" s="6" t="s">
        <v>18</v>
      </c>
      <c r="J4130" s="6" t="s">
        <v>19</v>
      </c>
      <c r="K4130" s="7">
        <v>43615</v>
      </c>
      <c r="L4130" s="8">
        <v>0.375</v>
      </c>
      <c r="M4130" s="6" t="s">
        <v>1327</v>
      </c>
      <c r="N4130" s="6" t="s">
        <v>21</v>
      </c>
      <c r="O4130" s="6" t="s">
        <v>22</v>
      </c>
    </row>
    <row r="4131" spans="1:15" hidden="1">
      <c r="A4131" s="3" t="s">
        <v>15</v>
      </c>
      <c r="B4131" s="3" t="str">
        <f>"FES1162692513"</f>
        <v>FES1162692513</v>
      </c>
      <c r="C4131" s="4">
        <v>43614</v>
      </c>
      <c r="D4131" s="3">
        <v>1</v>
      </c>
      <c r="E4131" s="3">
        <v>2170688786</v>
      </c>
      <c r="F4131" s="3" t="s">
        <v>16</v>
      </c>
      <c r="G4131" s="3" t="s">
        <v>17</v>
      </c>
      <c r="H4131" s="3" t="s">
        <v>37</v>
      </c>
      <c r="I4131" s="3" t="s">
        <v>38</v>
      </c>
      <c r="J4131" s="3" t="s">
        <v>39</v>
      </c>
      <c r="K4131" s="4">
        <v>43615</v>
      </c>
      <c r="L4131" s="5">
        <v>0.35833333333333334</v>
      </c>
      <c r="M4131" s="3" t="s">
        <v>4760</v>
      </c>
      <c r="N4131" s="20" t="s">
        <v>21</v>
      </c>
      <c r="O4131" s="3" t="s">
        <v>22</v>
      </c>
    </row>
    <row r="4132" spans="1:15" hidden="1">
      <c r="A4132" s="6" t="s">
        <v>15</v>
      </c>
      <c r="B4132" s="6" t="str">
        <f>"FES1162692522"</f>
        <v>FES1162692522</v>
      </c>
      <c r="C4132" s="7">
        <v>43614</v>
      </c>
      <c r="D4132" s="6">
        <v>1</v>
      </c>
      <c r="E4132" s="6">
        <v>2170688970</v>
      </c>
      <c r="F4132" s="6" t="s">
        <v>16</v>
      </c>
      <c r="G4132" s="6" t="s">
        <v>17</v>
      </c>
      <c r="H4132" s="6" t="s">
        <v>141</v>
      </c>
      <c r="I4132" s="6" t="s">
        <v>142</v>
      </c>
      <c r="J4132" s="6" t="s">
        <v>976</v>
      </c>
      <c r="K4132" s="7">
        <v>43615</v>
      </c>
      <c r="L4132" s="8">
        <v>0.42986111111111108</v>
      </c>
      <c r="M4132" s="6" t="s">
        <v>977</v>
      </c>
      <c r="N4132" s="14" t="s">
        <v>21</v>
      </c>
      <c r="O4132" s="6" t="s">
        <v>22</v>
      </c>
    </row>
    <row r="4133" spans="1:15" hidden="1">
      <c r="A4133" s="14" t="s">
        <v>15</v>
      </c>
      <c r="B4133" s="14" t="str">
        <f>"FES1162692457"</f>
        <v>FES1162692457</v>
      </c>
      <c r="C4133" s="15">
        <v>43614</v>
      </c>
      <c r="D4133" s="14">
        <v>1</v>
      </c>
      <c r="E4133" s="14">
        <v>2170690766</v>
      </c>
      <c r="F4133" s="14" t="s">
        <v>16</v>
      </c>
      <c r="G4133" s="14" t="s">
        <v>17</v>
      </c>
      <c r="H4133" s="14" t="s">
        <v>141</v>
      </c>
      <c r="I4133" s="14" t="s">
        <v>464</v>
      </c>
      <c r="J4133" s="14" t="s">
        <v>465</v>
      </c>
      <c r="K4133" s="15">
        <v>43615</v>
      </c>
      <c r="L4133" s="16">
        <v>0.45833333333333331</v>
      </c>
      <c r="M4133" s="14" t="s">
        <v>481</v>
      </c>
      <c r="N4133" s="14" t="s">
        <v>21</v>
      </c>
      <c r="O4133" s="14" t="s">
        <v>22</v>
      </c>
    </row>
    <row r="4134" spans="1:15">
      <c r="A4134" s="6" t="s">
        <v>15</v>
      </c>
      <c r="B4134" s="6" t="str">
        <f>"FES1162692500"</f>
        <v>FES1162692500</v>
      </c>
      <c r="C4134" s="7">
        <v>43614</v>
      </c>
      <c r="D4134" s="6">
        <v>1</v>
      </c>
      <c r="E4134" s="6">
        <v>2170688603</v>
      </c>
      <c r="F4134" s="6" t="s">
        <v>16</v>
      </c>
      <c r="G4134" s="6" t="s">
        <v>17</v>
      </c>
      <c r="H4134" s="6" t="s">
        <v>17</v>
      </c>
      <c r="I4134" s="6" t="s">
        <v>64</v>
      </c>
      <c r="J4134" s="6" t="s">
        <v>4761</v>
      </c>
      <c r="K4134" s="7">
        <v>43616</v>
      </c>
      <c r="L4134" s="8">
        <v>0.32569444444444445</v>
      </c>
      <c r="M4134" s="6" t="s">
        <v>4762</v>
      </c>
      <c r="N4134" s="6" t="s">
        <v>21</v>
      </c>
      <c r="O4134" s="6" t="s">
        <v>22</v>
      </c>
    </row>
    <row r="4135" spans="1:15">
      <c r="A4135" s="6" t="s">
        <v>15</v>
      </c>
      <c r="B4135" s="6" t="str">
        <f>"FES1162692558"</f>
        <v>FES1162692558</v>
      </c>
      <c r="C4135" s="7">
        <v>43614</v>
      </c>
      <c r="D4135" s="6">
        <v>1</v>
      </c>
      <c r="E4135" s="6">
        <v>2170690804</v>
      </c>
      <c r="F4135" s="6" t="s">
        <v>16</v>
      </c>
      <c r="G4135" s="6" t="s">
        <v>17</v>
      </c>
      <c r="H4135" s="6" t="s">
        <v>17</v>
      </c>
      <c r="I4135" s="6" t="s">
        <v>18</v>
      </c>
      <c r="J4135" s="6" t="s">
        <v>160</v>
      </c>
      <c r="K4135" s="7">
        <v>43615</v>
      </c>
      <c r="L4135" s="8">
        <v>0.34861111111111115</v>
      </c>
      <c r="M4135" s="6" t="s">
        <v>4763</v>
      </c>
      <c r="N4135" s="6" t="s">
        <v>21</v>
      </c>
      <c r="O4135" s="6" t="s">
        <v>22</v>
      </c>
    </row>
    <row r="4136" spans="1:15">
      <c r="A4136" s="6" t="s">
        <v>15</v>
      </c>
      <c r="B4136" s="6" t="str">
        <f>"FES1162692374"</f>
        <v>FES1162692374</v>
      </c>
      <c r="C4136" s="7">
        <v>43614</v>
      </c>
      <c r="D4136" s="6">
        <v>1</v>
      </c>
      <c r="E4136" s="6">
        <v>2170690726</v>
      </c>
      <c r="F4136" s="6" t="s">
        <v>16</v>
      </c>
      <c r="G4136" s="6" t="s">
        <v>17</v>
      </c>
      <c r="H4136" s="6" t="s">
        <v>17</v>
      </c>
      <c r="I4136" s="6" t="s">
        <v>84</v>
      </c>
      <c r="J4136" s="6" t="s">
        <v>85</v>
      </c>
      <c r="K4136" s="7">
        <v>43615</v>
      </c>
      <c r="L4136" s="8">
        <v>0.33333333333333331</v>
      </c>
      <c r="M4136" s="6" t="s">
        <v>4333</v>
      </c>
      <c r="N4136" s="6" t="s">
        <v>21</v>
      </c>
      <c r="O4136" s="6" t="s">
        <v>22</v>
      </c>
    </row>
    <row r="4137" spans="1:15">
      <c r="A4137" s="6" t="s">
        <v>15</v>
      </c>
      <c r="B4137" s="6" t="str">
        <f>"FES1162692455"</f>
        <v>FES1162692455</v>
      </c>
      <c r="C4137" s="7">
        <v>43614</v>
      </c>
      <c r="D4137" s="6">
        <v>1</v>
      </c>
      <c r="E4137" s="6">
        <v>2170690764</v>
      </c>
      <c r="F4137" s="6" t="s">
        <v>16</v>
      </c>
      <c r="G4137" s="6" t="s">
        <v>17</v>
      </c>
      <c r="H4137" s="6" t="s">
        <v>17</v>
      </c>
      <c r="I4137" s="6" t="s">
        <v>103</v>
      </c>
      <c r="J4137" s="6" t="s">
        <v>108</v>
      </c>
      <c r="K4137" s="7">
        <v>43615</v>
      </c>
      <c r="L4137" s="8">
        <v>0.33333333333333331</v>
      </c>
      <c r="M4137" s="6" t="s">
        <v>100</v>
      </c>
      <c r="N4137" s="6" t="s">
        <v>21</v>
      </c>
      <c r="O4137" s="6" t="s">
        <v>22</v>
      </c>
    </row>
    <row r="4138" spans="1:15" hidden="1">
      <c r="A4138" t="s">
        <v>15</v>
      </c>
      <c r="B4138" t="str">
        <f>"FES1162692450"</f>
        <v>FES1162692450</v>
      </c>
      <c r="C4138" s="9">
        <v>43614</v>
      </c>
      <c r="D4138">
        <v>1</v>
      </c>
      <c r="E4138">
        <v>2170689653</v>
      </c>
      <c r="F4138" t="s">
        <v>16</v>
      </c>
      <c r="G4138" t="s">
        <v>17</v>
      </c>
      <c r="H4138" t="s">
        <v>32</v>
      </c>
      <c r="I4138" t="s">
        <v>33</v>
      </c>
      <c r="J4138" t="s">
        <v>790</v>
      </c>
      <c r="K4138" s="9">
        <v>43615</v>
      </c>
      <c r="L4138" s="10">
        <v>0.375</v>
      </c>
      <c r="M4138" t="s">
        <v>791</v>
      </c>
      <c r="N4138" t="s">
        <v>4764</v>
      </c>
      <c r="O4138" t="s">
        <v>22</v>
      </c>
    </row>
    <row r="4139" spans="1:15" hidden="1">
      <c r="A4139" s="14" t="s">
        <v>15</v>
      </c>
      <c r="B4139" s="14" t="str">
        <f>"FES1162692393"</f>
        <v>FES1162692393</v>
      </c>
      <c r="C4139" s="15">
        <v>43614</v>
      </c>
      <c r="D4139" s="14">
        <v>1</v>
      </c>
      <c r="E4139" s="14">
        <v>217690753</v>
      </c>
      <c r="F4139" s="14" t="s">
        <v>16</v>
      </c>
      <c r="G4139" s="14" t="s">
        <v>17</v>
      </c>
      <c r="H4139" s="14" t="s">
        <v>141</v>
      </c>
      <c r="I4139" s="14" t="s">
        <v>142</v>
      </c>
      <c r="J4139" s="14" t="s">
        <v>917</v>
      </c>
      <c r="K4139" s="15">
        <v>43615</v>
      </c>
      <c r="L4139" s="16">
        <v>0.34375</v>
      </c>
      <c r="M4139" s="14" t="s">
        <v>2689</v>
      </c>
      <c r="N4139" s="14" t="s">
        <v>21</v>
      </c>
      <c r="O4139" s="14" t="s">
        <v>22</v>
      </c>
    </row>
    <row r="4140" spans="1:15">
      <c r="A4140" s="6" t="s">
        <v>15</v>
      </c>
      <c r="B4140" s="6" t="str">
        <f>"FES1162692379"</f>
        <v>FES1162692379</v>
      </c>
      <c r="C4140" s="7">
        <v>43614</v>
      </c>
      <c r="D4140" s="6">
        <v>1</v>
      </c>
      <c r="E4140" s="6">
        <v>2170690741</v>
      </c>
      <c r="F4140" s="6" t="s">
        <v>16</v>
      </c>
      <c r="G4140" s="6" t="s">
        <v>17</v>
      </c>
      <c r="H4140" s="6" t="s">
        <v>17</v>
      </c>
      <c r="I4140" s="6" t="s">
        <v>18</v>
      </c>
      <c r="J4140" s="6" t="s">
        <v>19</v>
      </c>
      <c r="K4140" s="7">
        <v>43615</v>
      </c>
      <c r="L4140" s="8">
        <v>0.40972222222222227</v>
      </c>
      <c r="M4140" s="6" t="s">
        <v>1327</v>
      </c>
      <c r="N4140" s="6" t="s">
        <v>21</v>
      </c>
      <c r="O4140" s="6" t="s">
        <v>22</v>
      </c>
    </row>
    <row r="4141" spans="1:15" hidden="1">
      <c r="A4141" t="s">
        <v>15</v>
      </c>
      <c r="B4141" t="str">
        <f>"FES1162692453"</f>
        <v>FES1162692453</v>
      </c>
      <c r="C4141" s="9">
        <v>43614</v>
      </c>
      <c r="D4141">
        <v>1</v>
      </c>
      <c r="E4141">
        <v>2170690513</v>
      </c>
      <c r="F4141" t="s">
        <v>16</v>
      </c>
      <c r="G4141" t="s">
        <v>17</v>
      </c>
      <c r="H4141" t="s">
        <v>132</v>
      </c>
      <c r="I4141" t="s">
        <v>133</v>
      </c>
      <c r="J4141" t="s">
        <v>639</v>
      </c>
      <c r="K4141" s="9">
        <v>43615</v>
      </c>
      <c r="L4141" s="10">
        <v>0.36805555555555558</v>
      </c>
      <c r="M4141" t="s">
        <v>2544</v>
      </c>
      <c r="N4141" t="s">
        <v>4765</v>
      </c>
      <c r="O4141" t="s">
        <v>22</v>
      </c>
    </row>
    <row r="4142" spans="1:15" hidden="1">
      <c r="A4142" t="s">
        <v>15</v>
      </c>
      <c r="B4142" t="str">
        <f>"FES1162692413"</f>
        <v>FES1162692413</v>
      </c>
      <c r="C4142" s="9">
        <v>43614</v>
      </c>
      <c r="D4142">
        <v>1</v>
      </c>
      <c r="E4142">
        <v>2170688412</v>
      </c>
      <c r="F4142" t="s">
        <v>16</v>
      </c>
      <c r="G4142" t="s">
        <v>17</v>
      </c>
      <c r="H4142" t="s">
        <v>37</v>
      </c>
      <c r="I4142" t="s">
        <v>3160</v>
      </c>
      <c r="J4142" t="s">
        <v>2051</v>
      </c>
      <c r="K4142" t="s">
        <v>1730</v>
      </c>
      <c r="L4142"/>
      <c r="M4142" t="s">
        <v>1731</v>
      </c>
      <c r="N4142" t="s">
        <v>4766</v>
      </c>
      <c r="O4142" t="s">
        <v>22</v>
      </c>
    </row>
    <row r="4143" spans="1:15">
      <c r="A4143" s="6" t="s">
        <v>15</v>
      </c>
      <c r="B4143" s="6" t="str">
        <f>"FES1162692360"</f>
        <v>FES1162692360</v>
      </c>
      <c r="C4143" s="7">
        <v>43614</v>
      </c>
      <c r="D4143" s="6">
        <v>1</v>
      </c>
      <c r="E4143" s="6">
        <v>217690708</v>
      </c>
      <c r="F4143" s="6" t="s">
        <v>16</v>
      </c>
      <c r="G4143" s="6" t="s">
        <v>17</v>
      </c>
      <c r="H4143" s="6" t="s">
        <v>17</v>
      </c>
      <c r="I4143" s="6" t="s">
        <v>67</v>
      </c>
      <c r="J4143" s="6" t="s">
        <v>1640</v>
      </c>
      <c r="K4143" s="7">
        <v>43615</v>
      </c>
      <c r="L4143" s="8">
        <v>0.46736111111111112</v>
      </c>
      <c r="M4143" s="6" t="s">
        <v>572</v>
      </c>
      <c r="N4143" s="6" t="s">
        <v>21</v>
      </c>
      <c r="O4143" s="6" t="s">
        <v>22</v>
      </c>
    </row>
    <row r="4144" spans="1:15" hidden="1">
      <c r="A4144" t="s">
        <v>15</v>
      </c>
      <c r="B4144" t="str">
        <f>"FES1162692483"</f>
        <v>FES1162692483</v>
      </c>
      <c r="C4144" s="9">
        <v>43614</v>
      </c>
      <c r="D4144">
        <v>1</v>
      </c>
      <c r="E4144">
        <v>2170688435</v>
      </c>
      <c r="F4144" t="s">
        <v>16</v>
      </c>
      <c r="G4144" t="s">
        <v>17</v>
      </c>
      <c r="H4144" t="s">
        <v>32</v>
      </c>
      <c r="I4144" t="s">
        <v>33</v>
      </c>
      <c r="J4144" t="s">
        <v>1438</v>
      </c>
      <c r="K4144" s="9">
        <v>43615</v>
      </c>
      <c r="L4144" s="10">
        <v>0.38541666666666669</v>
      </c>
      <c r="M4144" t="s">
        <v>4767</v>
      </c>
      <c r="N4144" t="s">
        <v>4768</v>
      </c>
      <c r="O4144" t="s">
        <v>22</v>
      </c>
    </row>
    <row r="4145" spans="1:15" hidden="1">
      <c r="A4145" t="s">
        <v>15</v>
      </c>
      <c r="B4145" t="str">
        <f>"FES1162692425"</f>
        <v>FES1162692425</v>
      </c>
      <c r="C4145" s="9">
        <v>43614</v>
      </c>
      <c r="D4145">
        <v>1</v>
      </c>
      <c r="E4145">
        <v>2170688836</v>
      </c>
      <c r="F4145" t="s">
        <v>16</v>
      </c>
      <c r="G4145" t="s">
        <v>17</v>
      </c>
      <c r="H4145" t="s">
        <v>32</v>
      </c>
      <c r="I4145" t="s">
        <v>33</v>
      </c>
      <c r="J4145" t="s">
        <v>34</v>
      </c>
      <c r="K4145" s="9">
        <v>43615</v>
      </c>
      <c r="L4145" s="10">
        <v>0.33333333333333331</v>
      </c>
      <c r="M4145" t="s">
        <v>35</v>
      </c>
      <c r="N4145" t="s">
        <v>4769</v>
      </c>
      <c r="O4145" t="s">
        <v>22</v>
      </c>
    </row>
    <row r="4146" spans="1:15" hidden="1">
      <c r="A4146" s="6" t="s">
        <v>15</v>
      </c>
      <c r="B4146" s="6" t="str">
        <f>"FES1162692417"</f>
        <v>FES1162692417</v>
      </c>
      <c r="C4146" s="7">
        <v>43614</v>
      </c>
      <c r="D4146" s="6">
        <v>1</v>
      </c>
      <c r="E4146" s="6">
        <v>2170688651</v>
      </c>
      <c r="F4146" s="6" t="s">
        <v>16</v>
      </c>
      <c r="G4146" s="6" t="s">
        <v>17</v>
      </c>
      <c r="H4146" s="6" t="s">
        <v>32</v>
      </c>
      <c r="I4146" s="6" t="s">
        <v>33</v>
      </c>
      <c r="J4146" s="6" t="s">
        <v>2462</v>
      </c>
      <c r="K4146" s="7">
        <v>43615</v>
      </c>
      <c r="L4146" s="8">
        <v>0.34375</v>
      </c>
      <c r="M4146" s="6" t="s">
        <v>4770</v>
      </c>
      <c r="N4146" s="14" t="s">
        <v>21</v>
      </c>
      <c r="O4146" s="6" t="s">
        <v>22</v>
      </c>
    </row>
    <row r="4147" spans="1:15" hidden="1">
      <c r="A4147" t="s">
        <v>15</v>
      </c>
      <c r="B4147" t="str">
        <f>"FES1162692401"</f>
        <v>FES1162692401</v>
      </c>
      <c r="C4147" s="9">
        <v>43614</v>
      </c>
      <c r="D4147">
        <v>1</v>
      </c>
      <c r="E4147">
        <v>2170690761</v>
      </c>
      <c r="F4147" t="s">
        <v>16</v>
      </c>
      <c r="G4147" t="s">
        <v>17</v>
      </c>
      <c r="H4147" t="s">
        <v>32</v>
      </c>
      <c r="I4147" t="s">
        <v>33</v>
      </c>
      <c r="J4147" t="s">
        <v>452</v>
      </c>
      <c r="K4147" s="9">
        <v>43615</v>
      </c>
      <c r="L4147" s="10">
        <v>0.38263888888888892</v>
      </c>
      <c r="M4147" t="s">
        <v>4771</v>
      </c>
      <c r="N4147" t="s">
        <v>4772</v>
      </c>
      <c r="O4147" t="s">
        <v>22</v>
      </c>
    </row>
    <row r="4148" spans="1:15" hidden="1">
      <c r="A4148" t="s">
        <v>15</v>
      </c>
      <c r="B4148" t="str">
        <f>"FES1162692418"</f>
        <v>FES1162692418</v>
      </c>
      <c r="C4148" s="9">
        <v>43614</v>
      </c>
      <c r="D4148">
        <v>1</v>
      </c>
      <c r="E4148">
        <v>2170688745</v>
      </c>
      <c r="F4148" t="s">
        <v>16</v>
      </c>
      <c r="G4148" t="s">
        <v>17</v>
      </c>
      <c r="H4148" t="s">
        <v>32</v>
      </c>
      <c r="I4148" t="s">
        <v>33</v>
      </c>
      <c r="J4148" t="s">
        <v>1657</v>
      </c>
      <c r="K4148" s="9">
        <v>43615</v>
      </c>
      <c r="L4148" s="10">
        <v>0.3923611111111111</v>
      </c>
      <c r="M4148" t="s">
        <v>1658</v>
      </c>
      <c r="N4148" t="s">
        <v>4773</v>
      </c>
      <c r="O4148" t="s">
        <v>22</v>
      </c>
    </row>
    <row r="4149" spans="1:15" hidden="1">
      <c r="A4149" t="s">
        <v>15</v>
      </c>
      <c r="B4149" t="str">
        <f>"FES1162692435"</f>
        <v>FES1162692435</v>
      </c>
      <c r="C4149" s="9">
        <v>43614</v>
      </c>
      <c r="D4149">
        <v>1</v>
      </c>
      <c r="E4149">
        <v>2170689003</v>
      </c>
      <c r="F4149" t="s">
        <v>16</v>
      </c>
      <c r="G4149" t="s">
        <v>17</v>
      </c>
      <c r="H4149" t="s">
        <v>32</v>
      </c>
      <c r="I4149" t="s">
        <v>33</v>
      </c>
      <c r="J4149" t="s">
        <v>365</v>
      </c>
      <c r="K4149" s="9">
        <v>43615</v>
      </c>
      <c r="L4149" s="10">
        <v>0.3888888888888889</v>
      </c>
      <c r="M4149" t="s">
        <v>1344</v>
      </c>
      <c r="N4149" t="s">
        <v>4774</v>
      </c>
      <c r="O4149" t="s">
        <v>22</v>
      </c>
    </row>
    <row r="4150" spans="1:15">
      <c r="A4150" s="6" t="s">
        <v>15</v>
      </c>
      <c r="B4150" s="6" t="str">
        <f>"FES1162692525"</f>
        <v>FES1162692525</v>
      </c>
      <c r="C4150" s="7">
        <v>43614</v>
      </c>
      <c r="D4150" s="6">
        <v>1</v>
      </c>
      <c r="E4150" s="6">
        <v>2170689045</v>
      </c>
      <c r="F4150" s="6" t="s">
        <v>16</v>
      </c>
      <c r="G4150" s="6" t="s">
        <v>17</v>
      </c>
      <c r="H4150" s="6" t="s">
        <v>17</v>
      </c>
      <c r="I4150" s="6" t="s">
        <v>64</v>
      </c>
      <c r="J4150" s="6" t="s">
        <v>116</v>
      </c>
      <c r="K4150" s="7">
        <v>43615</v>
      </c>
      <c r="L4150" s="8">
        <v>0.33611111111111108</v>
      </c>
      <c r="M4150" s="6" t="s">
        <v>2594</v>
      </c>
      <c r="N4150" s="6" t="s">
        <v>21</v>
      </c>
      <c r="O4150" s="6" t="s">
        <v>22</v>
      </c>
    </row>
    <row r="4151" spans="1:15" hidden="1">
      <c r="A4151" t="s">
        <v>15</v>
      </c>
      <c r="B4151" t="str">
        <f>"FES1162692480"</f>
        <v>FES1162692480</v>
      </c>
      <c r="C4151" s="9">
        <v>43614</v>
      </c>
      <c r="D4151">
        <v>1</v>
      </c>
      <c r="E4151">
        <v>2170688408</v>
      </c>
      <c r="F4151" t="s">
        <v>16</v>
      </c>
      <c r="G4151" t="s">
        <v>17</v>
      </c>
      <c r="H4151" t="s">
        <v>43</v>
      </c>
      <c r="I4151" t="s">
        <v>44</v>
      </c>
      <c r="J4151" t="s">
        <v>51</v>
      </c>
      <c r="K4151" s="9">
        <v>43615</v>
      </c>
      <c r="L4151" s="10">
        <v>0.35694444444444445</v>
      </c>
      <c r="M4151" t="s">
        <v>1214</v>
      </c>
      <c r="N4151" t="s">
        <v>4775</v>
      </c>
      <c r="O4151" t="s">
        <v>22</v>
      </c>
    </row>
    <row r="4152" spans="1:15" hidden="1">
      <c r="A4152" t="s">
        <v>15</v>
      </c>
      <c r="B4152" t="str">
        <f>"FES1162692388"</f>
        <v>FES1162692388</v>
      </c>
      <c r="C4152" s="9">
        <v>43614</v>
      </c>
      <c r="D4152">
        <v>1</v>
      </c>
      <c r="E4152">
        <v>217060457</v>
      </c>
      <c r="F4152" t="s">
        <v>16</v>
      </c>
      <c r="G4152" t="s">
        <v>17</v>
      </c>
      <c r="H4152" t="s">
        <v>43</v>
      </c>
      <c r="I4152" t="s">
        <v>75</v>
      </c>
      <c r="J4152" t="s">
        <v>222</v>
      </c>
      <c r="K4152" s="9">
        <v>43615</v>
      </c>
      <c r="L4152" s="10">
        <v>0.4604166666666667</v>
      </c>
      <c r="M4152" t="s">
        <v>88</v>
      </c>
      <c r="N4152" t="s">
        <v>4776</v>
      </c>
      <c r="O4152" t="s">
        <v>22</v>
      </c>
    </row>
    <row r="4153" spans="1:15" hidden="1">
      <c r="A4153" t="s">
        <v>15</v>
      </c>
      <c r="B4153" t="str">
        <f>"FES1162692411"</f>
        <v>FES1162692411</v>
      </c>
      <c r="C4153" s="9">
        <v>43614</v>
      </c>
      <c r="D4153">
        <v>1</v>
      </c>
      <c r="E4153">
        <v>2170687646</v>
      </c>
      <c r="F4153" t="s">
        <v>16</v>
      </c>
      <c r="G4153" t="s">
        <v>17</v>
      </c>
      <c r="H4153" t="s">
        <v>32</v>
      </c>
      <c r="I4153" t="s">
        <v>33</v>
      </c>
      <c r="J4153" t="s">
        <v>357</v>
      </c>
      <c r="K4153" s="9">
        <v>43615</v>
      </c>
      <c r="L4153" s="10">
        <v>0.43402777777777773</v>
      </c>
      <c r="M4153" t="s">
        <v>2201</v>
      </c>
      <c r="N4153" t="s">
        <v>4777</v>
      </c>
      <c r="O4153" t="s">
        <v>22</v>
      </c>
    </row>
    <row r="4154" spans="1:15" hidden="1">
      <c r="A4154" s="6" t="s">
        <v>15</v>
      </c>
      <c r="B4154" s="6" t="str">
        <f>"FES1162692381"</f>
        <v>FES1162692381</v>
      </c>
      <c r="C4154" s="7">
        <v>43614</v>
      </c>
      <c r="D4154" s="6">
        <v>1</v>
      </c>
      <c r="E4154" s="6">
        <v>2170609743</v>
      </c>
      <c r="F4154" s="6" t="s">
        <v>16</v>
      </c>
      <c r="G4154" s="6" t="s">
        <v>17</v>
      </c>
      <c r="H4154" s="6" t="s">
        <v>425</v>
      </c>
      <c r="I4154" s="6" t="s">
        <v>426</v>
      </c>
      <c r="J4154" s="6" t="s">
        <v>783</v>
      </c>
      <c r="K4154" s="44">
        <v>43615</v>
      </c>
      <c r="L4154" s="45">
        <v>0.43402777777777773</v>
      </c>
      <c r="M4154" s="6" t="s">
        <v>4778</v>
      </c>
      <c r="N4154" s="6" t="s">
        <v>21</v>
      </c>
      <c r="O4154" s="6" t="s">
        <v>22</v>
      </c>
    </row>
    <row r="4155" spans="1:15" hidden="1">
      <c r="A4155" t="s">
        <v>15</v>
      </c>
      <c r="B4155" t="str">
        <f>"FES1162692552"</f>
        <v>FES1162692552</v>
      </c>
      <c r="C4155" s="9">
        <v>43614</v>
      </c>
      <c r="D4155">
        <v>1</v>
      </c>
      <c r="E4155">
        <v>2170690794</v>
      </c>
      <c r="F4155" t="s">
        <v>16</v>
      </c>
      <c r="G4155" t="s">
        <v>17</v>
      </c>
      <c r="H4155" t="s">
        <v>43</v>
      </c>
      <c r="I4155" t="s">
        <v>44</v>
      </c>
      <c r="J4155" t="s">
        <v>51</v>
      </c>
      <c r="K4155" s="9">
        <v>43615</v>
      </c>
      <c r="L4155" s="10">
        <v>0.3576388888888889</v>
      </c>
      <c r="M4155" t="s">
        <v>1214</v>
      </c>
      <c r="N4155" t="s">
        <v>4779</v>
      </c>
      <c r="O4155" t="s">
        <v>22</v>
      </c>
    </row>
    <row r="4156" spans="1:15" hidden="1">
      <c r="A4156" s="6" t="s">
        <v>15</v>
      </c>
      <c r="B4156" s="6" t="str">
        <f>"FES1162692386"</f>
        <v>FES1162692386</v>
      </c>
      <c r="C4156" s="7">
        <v>43614</v>
      </c>
      <c r="D4156" s="6">
        <v>1</v>
      </c>
      <c r="E4156" s="6">
        <v>2170690745</v>
      </c>
      <c r="F4156" s="6" t="s">
        <v>16</v>
      </c>
      <c r="G4156" s="6" t="s">
        <v>17</v>
      </c>
      <c r="H4156" s="6" t="s">
        <v>43</v>
      </c>
      <c r="I4156" s="6" t="s">
        <v>44</v>
      </c>
      <c r="J4156" s="6" t="s">
        <v>48</v>
      </c>
      <c r="K4156" s="7">
        <v>43615</v>
      </c>
      <c r="L4156" s="8">
        <v>0.34583333333333338</v>
      </c>
      <c r="M4156" s="6" t="s">
        <v>4734</v>
      </c>
      <c r="N4156" s="14" t="s">
        <v>21</v>
      </c>
      <c r="O4156" s="6" t="s">
        <v>22</v>
      </c>
    </row>
    <row r="4157" spans="1:15" hidden="1">
      <c r="A4157" s="14" t="s">
        <v>15</v>
      </c>
      <c r="B4157" s="14" t="str">
        <f>"FES1162692356"</f>
        <v>FES1162692356</v>
      </c>
      <c r="C4157" s="15">
        <v>43614</v>
      </c>
      <c r="D4157" s="14">
        <v>1</v>
      </c>
      <c r="E4157" s="14">
        <v>2170690699</v>
      </c>
      <c r="F4157" s="14" t="s">
        <v>16</v>
      </c>
      <c r="G4157" s="14" t="s">
        <v>17</v>
      </c>
      <c r="H4157" s="14" t="s">
        <v>32</v>
      </c>
      <c r="I4157" s="14" t="s">
        <v>33</v>
      </c>
      <c r="J4157" s="14" t="s">
        <v>2108</v>
      </c>
      <c r="K4157" s="15">
        <v>43615</v>
      </c>
      <c r="L4157" s="16">
        <v>0.35069444444444442</v>
      </c>
      <c r="M4157" s="14" t="s">
        <v>4780</v>
      </c>
      <c r="N4157" s="14" t="s">
        <v>21</v>
      </c>
      <c r="O4157" s="14" t="s">
        <v>22</v>
      </c>
    </row>
    <row r="4158" spans="1:15">
      <c r="A4158" s="6" t="s">
        <v>15</v>
      </c>
      <c r="B4158" s="6" t="str">
        <f>"FES1162692485"</f>
        <v>FES1162692485</v>
      </c>
      <c r="C4158" s="7">
        <v>43614</v>
      </c>
      <c r="D4158" s="6">
        <v>1</v>
      </c>
      <c r="E4158" s="6">
        <v>2170688443</v>
      </c>
      <c r="F4158" s="6" t="s">
        <v>16</v>
      </c>
      <c r="G4158" s="6" t="s">
        <v>17</v>
      </c>
      <c r="H4158" s="6" t="s">
        <v>17</v>
      </c>
      <c r="I4158" s="6" t="s">
        <v>421</v>
      </c>
      <c r="J4158" s="6" t="s">
        <v>422</v>
      </c>
      <c r="K4158" s="7">
        <v>43615</v>
      </c>
      <c r="L4158" s="8">
        <v>0.33333333333333331</v>
      </c>
      <c r="M4158" s="6" t="s">
        <v>423</v>
      </c>
      <c r="N4158" s="6" t="s">
        <v>21</v>
      </c>
      <c r="O4158" s="6" t="s">
        <v>22</v>
      </c>
    </row>
    <row r="4159" spans="1:15" hidden="1">
      <c r="A4159" t="s">
        <v>15</v>
      </c>
      <c r="B4159" t="str">
        <f>"FES1162692434"</f>
        <v>FES1162692434</v>
      </c>
      <c r="C4159" s="9">
        <v>43614</v>
      </c>
      <c r="D4159">
        <v>1</v>
      </c>
      <c r="E4159">
        <v>2170688988</v>
      </c>
      <c r="F4159" t="s">
        <v>16</v>
      </c>
      <c r="G4159" t="s">
        <v>17</v>
      </c>
      <c r="H4159" t="s">
        <v>300</v>
      </c>
      <c r="I4159" t="s">
        <v>301</v>
      </c>
      <c r="J4159" t="s">
        <v>3515</v>
      </c>
      <c r="K4159" t="s">
        <v>1730</v>
      </c>
      <c r="L4159"/>
      <c r="M4159" t="s">
        <v>1731</v>
      </c>
      <c r="N4159" t="s">
        <v>4781</v>
      </c>
      <c r="O4159" t="s">
        <v>22</v>
      </c>
    </row>
    <row r="4160" spans="1:15" hidden="1">
      <c r="A4160" t="s">
        <v>15</v>
      </c>
      <c r="B4160" t="str">
        <f>"FES1162692494"</f>
        <v>FES1162692494</v>
      </c>
      <c r="C4160" s="9">
        <v>43614</v>
      </c>
      <c r="D4160">
        <v>1</v>
      </c>
      <c r="E4160">
        <v>2170688563</v>
      </c>
      <c r="F4160" t="s">
        <v>16</v>
      </c>
      <c r="G4160" t="s">
        <v>17</v>
      </c>
      <c r="H4160" t="s">
        <v>59</v>
      </c>
      <c r="I4160" t="s">
        <v>81</v>
      </c>
      <c r="J4160" t="s">
        <v>3808</v>
      </c>
      <c r="K4160" s="9">
        <v>43615</v>
      </c>
      <c r="L4160" s="10">
        <v>0.39305555555555555</v>
      </c>
      <c r="M4160" t="s">
        <v>3896</v>
      </c>
      <c r="N4160" t="s">
        <v>4782</v>
      </c>
      <c r="O4160" t="s">
        <v>22</v>
      </c>
    </row>
    <row r="4161" spans="1:15">
      <c r="A4161" s="6" t="s">
        <v>15</v>
      </c>
      <c r="B4161" s="6" t="str">
        <f>"FES1162692440"</f>
        <v>FES1162692440</v>
      </c>
      <c r="C4161" s="7">
        <v>43614</v>
      </c>
      <c r="D4161" s="6">
        <v>1</v>
      </c>
      <c r="E4161" s="6">
        <v>2170689063</v>
      </c>
      <c r="F4161" s="6" t="s">
        <v>16</v>
      </c>
      <c r="G4161" s="6" t="s">
        <v>17</v>
      </c>
      <c r="H4161" s="6" t="s">
        <v>17</v>
      </c>
      <c r="I4161" s="6" t="s">
        <v>29</v>
      </c>
      <c r="J4161" s="6" t="s">
        <v>1080</v>
      </c>
      <c r="K4161" s="7">
        <v>43615</v>
      </c>
      <c r="L4161" s="8">
        <v>0.5083333333333333</v>
      </c>
      <c r="M4161" s="6" t="s">
        <v>4783</v>
      </c>
      <c r="N4161" s="6" t="s">
        <v>21</v>
      </c>
      <c r="O4161" s="6" t="s">
        <v>22</v>
      </c>
    </row>
    <row r="4162" spans="1:15">
      <c r="A4162" s="6" t="s">
        <v>15</v>
      </c>
      <c r="B4162" s="6" t="str">
        <f>"FES1162692460"</f>
        <v>FES1162692460</v>
      </c>
      <c r="C4162" s="7">
        <v>43614</v>
      </c>
      <c r="D4162" s="6">
        <v>1</v>
      </c>
      <c r="E4162" s="6">
        <v>2170678903</v>
      </c>
      <c r="F4162" s="6" t="s">
        <v>16</v>
      </c>
      <c r="G4162" s="6" t="s">
        <v>17</v>
      </c>
      <c r="H4162" s="6" t="s">
        <v>17</v>
      </c>
      <c r="I4162" s="6" t="s">
        <v>64</v>
      </c>
      <c r="J4162" s="6" t="s">
        <v>4784</v>
      </c>
      <c r="K4162" s="7">
        <v>43615</v>
      </c>
      <c r="L4162" s="8">
        <v>0.38819444444444445</v>
      </c>
      <c r="M4162" s="6" t="s">
        <v>1494</v>
      </c>
      <c r="N4162" s="6" t="s">
        <v>21</v>
      </c>
      <c r="O4162" s="6" t="s">
        <v>22</v>
      </c>
    </row>
    <row r="4163" spans="1:15" hidden="1">
      <c r="A4163" t="s">
        <v>15</v>
      </c>
      <c r="B4163" t="str">
        <f>"FES1162692470"</f>
        <v>FES1162692470</v>
      </c>
      <c r="C4163" s="9">
        <v>43614</v>
      </c>
      <c r="D4163">
        <v>1</v>
      </c>
      <c r="E4163">
        <v>2170687920</v>
      </c>
      <c r="F4163" t="s">
        <v>16</v>
      </c>
      <c r="G4163" t="s">
        <v>17</v>
      </c>
      <c r="H4163" t="s">
        <v>132</v>
      </c>
      <c r="I4163" t="s">
        <v>133</v>
      </c>
      <c r="J4163" t="s">
        <v>182</v>
      </c>
      <c r="K4163" s="9">
        <v>43615</v>
      </c>
      <c r="L4163" s="10">
        <v>0.40277777777777773</v>
      </c>
      <c r="M4163" t="s">
        <v>4785</v>
      </c>
      <c r="N4163" t="s">
        <v>4786</v>
      </c>
      <c r="O4163" t="s">
        <v>22</v>
      </c>
    </row>
    <row r="4164" spans="1:15" hidden="1">
      <c r="A4164" t="s">
        <v>15</v>
      </c>
      <c r="B4164" t="str">
        <f>"FES1162692466"</f>
        <v>FES1162692466</v>
      </c>
      <c r="C4164" s="9">
        <v>43614</v>
      </c>
      <c r="D4164">
        <v>1</v>
      </c>
      <c r="E4164">
        <v>2170687203</v>
      </c>
      <c r="F4164" t="s">
        <v>16</v>
      </c>
      <c r="G4164" t="s">
        <v>17</v>
      </c>
      <c r="H4164" t="s">
        <v>32</v>
      </c>
      <c r="I4164" t="s">
        <v>33</v>
      </c>
      <c r="J4164" t="s">
        <v>1657</v>
      </c>
      <c r="K4164" s="9">
        <v>43615</v>
      </c>
      <c r="L4164" s="10">
        <v>0.3923611111111111</v>
      </c>
      <c r="M4164" t="s">
        <v>1658</v>
      </c>
      <c r="N4164" t="s">
        <v>4787</v>
      </c>
      <c r="O4164" t="s">
        <v>22</v>
      </c>
    </row>
    <row r="4165" spans="1:15" hidden="1">
      <c r="A4165" t="s">
        <v>15</v>
      </c>
      <c r="B4165" t="str">
        <f>"FES1162692389"</f>
        <v>FES1162692389</v>
      </c>
      <c r="C4165" s="9">
        <v>43614</v>
      </c>
      <c r="D4165">
        <v>1</v>
      </c>
      <c r="E4165">
        <v>2170690747</v>
      </c>
      <c r="F4165" t="s">
        <v>16</v>
      </c>
      <c r="G4165" t="s">
        <v>17</v>
      </c>
      <c r="H4165" t="s">
        <v>425</v>
      </c>
      <c r="I4165" t="s">
        <v>426</v>
      </c>
      <c r="J4165" t="s">
        <v>783</v>
      </c>
      <c r="K4165" s="9">
        <v>43615</v>
      </c>
      <c r="L4165" s="10">
        <v>0.37986111111111115</v>
      </c>
      <c r="M4165" t="s">
        <v>784</v>
      </c>
      <c r="N4165" t="s">
        <v>4788</v>
      </c>
      <c r="O4165" t="s">
        <v>22</v>
      </c>
    </row>
    <row r="4166" spans="1:15" hidden="1">
      <c r="A4166" t="s">
        <v>15</v>
      </c>
      <c r="B4166" t="str">
        <f>"FES1162692437"</f>
        <v>FES1162692437</v>
      </c>
      <c r="C4166" s="9">
        <v>43614</v>
      </c>
      <c r="D4166">
        <v>1</v>
      </c>
      <c r="E4166">
        <v>2170689044</v>
      </c>
      <c r="F4166" t="s">
        <v>16</v>
      </c>
      <c r="G4166" t="s">
        <v>17</v>
      </c>
      <c r="H4166" t="s">
        <v>43</v>
      </c>
      <c r="I4166" t="s">
        <v>75</v>
      </c>
      <c r="J4166" t="s">
        <v>811</v>
      </c>
      <c r="K4166" s="9">
        <v>43615</v>
      </c>
      <c r="L4166" s="10">
        <v>0.47569444444444442</v>
      </c>
      <c r="M4166" t="s">
        <v>1167</v>
      </c>
      <c r="N4166" t="s">
        <v>4789</v>
      </c>
      <c r="O4166" t="s">
        <v>22</v>
      </c>
    </row>
    <row r="4167" spans="1:15" hidden="1">
      <c r="A4167" t="s">
        <v>15</v>
      </c>
      <c r="B4167" t="str">
        <f>"FES1162692431"</f>
        <v>FES1162692431</v>
      </c>
      <c r="C4167" s="9">
        <v>43614</v>
      </c>
      <c r="D4167">
        <v>1</v>
      </c>
      <c r="E4167">
        <v>2170688936</v>
      </c>
      <c r="F4167" t="s">
        <v>16</v>
      </c>
      <c r="G4167" t="s">
        <v>17</v>
      </c>
      <c r="H4167" t="s">
        <v>43</v>
      </c>
      <c r="I4167" t="s">
        <v>44</v>
      </c>
      <c r="J4167" t="s">
        <v>748</v>
      </c>
      <c r="K4167" s="9">
        <v>43615</v>
      </c>
      <c r="L4167" s="10">
        <v>0.41666666666666669</v>
      </c>
      <c r="M4167" t="s">
        <v>4790</v>
      </c>
      <c r="N4167" t="s">
        <v>4791</v>
      </c>
      <c r="O4167" t="s">
        <v>22</v>
      </c>
    </row>
    <row r="4168" spans="1:15" hidden="1">
      <c r="A4168" t="s">
        <v>15</v>
      </c>
      <c r="B4168" t="str">
        <f>"FES1162692543"</f>
        <v>FES1162692543</v>
      </c>
      <c r="C4168" s="9">
        <v>43614</v>
      </c>
      <c r="D4168">
        <v>1</v>
      </c>
      <c r="E4168">
        <v>2170690784</v>
      </c>
      <c r="F4168" t="s">
        <v>16</v>
      </c>
      <c r="G4168" t="s">
        <v>17</v>
      </c>
      <c r="H4168" t="s">
        <v>32</v>
      </c>
      <c r="I4168" t="s">
        <v>33</v>
      </c>
      <c r="J4168" t="s">
        <v>360</v>
      </c>
      <c r="K4168" s="9">
        <v>43615</v>
      </c>
      <c r="L4168" s="10">
        <v>0.35069444444444442</v>
      </c>
      <c r="M4168" t="s">
        <v>361</v>
      </c>
      <c r="N4168" t="s">
        <v>4792</v>
      </c>
      <c r="O4168" t="s">
        <v>22</v>
      </c>
    </row>
    <row r="4169" spans="1:15" hidden="1">
      <c r="A4169" t="s">
        <v>15</v>
      </c>
      <c r="B4169" t="str">
        <f>"FES1162692573"</f>
        <v>FES1162692573</v>
      </c>
      <c r="C4169" s="9">
        <v>43614</v>
      </c>
      <c r="D4169">
        <v>1</v>
      </c>
      <c r="E4169">
        <v>2170690824</v>
      </c>
      <c r="F4169" t="s">
        <v>16</v>
      </c>
      <c r="G4169" t="s">
        <v>17</v>
      </c>
      <c r="H4169" t="s">
        <v>32</v>
      </c>
      <c r="I4169" t="s">
        <v>33</v>
      </c>
      <c r="J4169" t="s">
        <v>365</v>
      </c>
      <c r="K4169" s="9">
        <v>43615</v>
      </c>
      <c r="L4169" s="10">
        <v>0.3888888888888889</v>
      </c>
      <c r="M4169" t="s">
        <v>1349</v>
      </c>
      <c r="N4169" t="s">
        <v>4793</v>
      </c>
      <c r="O4169" t="s">
        <v>22</v>
      </c>
    </row>
    <row r="4170" spans="1:15" hidden="1">
      <c r="A4170" t="s">
        <v>15</v>
      </c>
      <c r="B4170" t="str">
        <f>"FES1162692504"</f>
        <v>FES1162692504</v>
      </c>
      <c r="C4170" s="9">
        <v>43614</v>
      </c>
      <c r="D4170">
        <v>1</v>
      </c>
      <c r="E4170">
        <v>2170688651</v>
      </c>
      <c r="F4170" t="s">
        <v>16</v>
      </c>
      <c r="G4170" t="s">
        <v>17</v>
      </c>
      <c r="H4170" t="s">
        <v>32</v>
      </c>
      <c r="I4170" t="s">
        <v>33</v>
      </c>
      <c r="J4170" t="s">
        <v>2462</v>
      </c>
      <c r="K4170" s="9">
        <v>43615</v>
      </c>
      <c r="L4170" s="10">
        <v>0.34375</v>
      </c>
      <c r="M4170" t="s">
        <v>4770</v>
      </c>
      <c r="N4170" t="s">
        <v>4794</v>
      </c>
      <c r="O4170" t="s">
        <v>22</v>
      </c>
    </row>
    <row r="4171" spans="1:15" hidden="1">
      <c r="A4171" t="s">
        <v>15</v>
      </c>
      <c r="B4171" t="str">
        <f>"FES1162692482"</f>
        <v>FES1162692482</v>
      </c>
      <c r="C4171" s="9">
        <v>43614</v>
      </c>
      <c r="D4171">
        <v>1</v>
      </c>
      <c r="E4171">
        <v>2170688428</v>
      </c>
      <c r="F4171" t="s">
        <v>16</v>
      </c>
      <c r="G4171" t="s">
        <v>17</v>
      </c>
      <c r="H4171" t="s">
        <v>32</v>
      </c>
      <c r="I4171" t="s">
        <v>342</v>
      </c>
      <c r="J4171" t="s">
        <v>726</v>
      </c>
      <c r="K4171" s="9">
        <v>43615</v>
      </c>
      <c r="L4171" s="10">
        <v>0.34375</v>
      </c>
      <c r="M4171" t="s">
        <v>4795</v>
      </c>
      <c r="N4171" t="s">
        <v>4796</v>
      </c>
      <c r="O4171" t="s">
        <v>22</v>
      </c>
    </row>
    <row r="4172" spans="1:15" hidden="1">
      <c r="A4172" s="6" t="s">
        <v>15</v>
      </c>
      <c r="B4172" s="6" t="str">
        <f>"FES1162692473"</f>
        <v>FES1162692473</v>
      </c>
      <c r="C4172" s="7">
        <v>43614</v>
      </c>
      <c r="D4172" s="6">
        <v>1</v>
      </c>
      <c r="E4172" s="6">
        <v>2170688161</v>
      </c>
      <c r="F4172" s="6" t="s">
        <v>16</v>
      </c>
      <c r="G4172" s="6" t="s">
        <v>17</v>
      </c>
      <c r="H4172" s="6" t="s">
        <v>37</v>
      </c>
      <c r="I4172" s="6" t="s">
        <v>38</v>
      </c>
      <c r="J4172" s="6" t="s">
        <v>2655</v>
      </c>
      <c r="K4172" s="7">
        <v>43615</v>
      </c>
      <c r="L4172" s="8">
        <v>0.4375</v>
      </c>
      <c r="M4172" s="6" t="s">
        <v>4750</v>
      </c>
      <c r="N4172" s="14" t="s">
        <v>21</v>
      </c>
      <c r="O4172" s="6" t="s">
        <v>22</v>
      </c>
    </row>
    <row r="4173" spans="1:15" hidden="1">
      <c r="A4173" s="6" t="s">
        <v>15</v>
      </c>
      <c r="B4173" s="6" t="str">
        <f>"FES1162692481"</f>
        <v>FES1162692481</v>
      </c>
      <c r="C4173" s="7">
        <v>43614</v>
      </c>
      <c r="D4173" s="6">
        <v>1</v>
      </c>
      <c r="E4173" s="6">
        <v>2170688426</v>
      </c>
      <c r="F4173" s="6" t="s">
        <v>16</v>
      </c>
      <c r="G4173" s="6" t="s">
        <v>17</v>
      </c>
      <c r="H4173" s="6" t="s">
        <v>32</v>
      </c>
      <c r="I4173" s="6" t="s">
        <v>342</v>
      </c>
      <c r="J4173" s="6" t="s">
        <v>343</v>
      </c>
      <c r="K4173" s="7">
        <v>43615</v>
      </c>
      <c r="L4173" s="8">
        <v>0.34027777777777773</v>
      </c>
      <c r="M4173" s="6" t="s">
        <v>4797</v>
      </c>
      <c r="N4173" s="14" t="s">
        <v>21</v>
      </c>
      <c r="O4173" s="6" t="s">
        <v>22</v>
      </c>
    </row>
    <row r="4174" spans="1:15" hidden="1">
      <c r="A4174" s="6" t="s">
        <v>15</v>
      </c>
      <c r="B4174" s="6" t="str">
        <f>"FES1162692426"</f>
        <v>FES1162692426</v>
      </c>
      <c r="C4174" s="7">
        <v>43614</v>
      </c>
      <c r="D4174" s="6">
        <v>1</v>
      </c>
      <c r="E4174" s="6">
        <v>2170688848</v>
      </c>
      <c r="F4174" s="6" t="s">
        <v>16</v>
      </c>
      <c r="G4174" s="6" t="s">
        <v>17</v>
      </c>
      <c r="H4174" s="6" t="s">
        <v>32</v>
      </c>
      <c r="I4174" s="6" t="s">
        <v>33</v>
      </c>
      <c r="J4174" s="6" t="s">
        <v>4798</v>
      </c>
      <c r="K4174" s="7">
        <v>43615</v>
      </c>
      <c r="L4174" s="8">
        <v>0.3263888888888889</v>
      </c>
      <c r="M4174" s="6" t="s">
        <v>646</v>
      </c>
      <c r="N4174" s="14" t="s">
        <v>21</v>
      </c>
      <c r="O4174" s="6" t="s">
        <v>22</v>
      </c>
    </row>
    <row r="4175" spans="1:15" hidden="1">
      <c r="A4175" s="14" t="s">
        <v>15</v>
      </c>
      <c r="B4175" s="14" t="str">
        <f>"FES1162692570"</f>
        <v>FES1162692570</v>
      </c>
      <c r="C4175" s="15">
        <v>43614</v>
      </c>
      <c r="D4175" s="14">
        <v>1</v>
      </c>
      <c r="E4175" s="14">
        <v>2170680980</v>
      </c>
      <c r="F4175" s="14" t="s">
        <v>16</v>
      </c>
      <c r="G4175" s="14" t="s">
        <v>17</v>
      </c>
      <c r="H4175" s="14" t="s">
        <v>32</v>
      </c>
      <c r="I4175" s="14" t="s">
        <v>33</v>
      </c>
      <c r="J4175" s="14" t="s">
        <v>365</v>
      </c>
      <c r="K4175" s="15">
        <v>43615</v>
      </c>
      <c r="L4175" s="16">
        <v>0.3888888888888889</v>
      </c>
      <c r="M4175" s="14" t="s">
        <v>1344</v>
      </c>
      <c r="N4175" s="14" t="s">
        <v>21</v>
      </c>
      <c r="O4175" s="14" t="s">
        <v>22</v>
      </c>
    </row>
    <row r="4176" spans="1:15">
      <c r="A4176" s="6" t="s">
        <v>15</v>
      </c>
      <c r="B4176" s="6" t="str">
        <f>"FES1162692424"</f>
        <v>FES1162692424</v>
      </c>
      <c r="C4176" s="7">
        <v>43614</v>
      </c>
      <c r="D4176" s="6">
        <v>1</v>
      </c>
      <c r="E4176" s="6">
        <v>217068831</v>
      </c>
      <c r="F4176" s="6" t="s">
        <v>16</v>
      </c>
      <c r="G4176" s="6" t="s">
        <v>17</v>
      </c>
      <c r="H4176" s="6" t="s">
        <v>17</v>
      </c>
      <c r="I4176" s="6" t="s">
        <v>18</v>
      </c>
      <c r="J4176" s="6" t="s">
        <v>19</v>
      </c>
      <c r="K4176" s="7">
        <v>43615</v>
      </c>
      <c r="L4176" s="8">
        <v>0.33333333333333331</v>
      </c>
      <c r="M4176" s="6" t="s">
        <v>1327</v>
      </c>
      <c r="N4176" s="6" t="s">
        <v>21</v>
      </c>
      <c r="O4176" s="6" t="s">
        <v>22</v>
      </c>
    </row>
    <row r="4177" spans="1:15">
      <c r="A4177" s="6" t="s">
        <v>15</v>
      </c>
      <c r="B4177" s="6" t="str">
        <f>"FES1162692476"</f>
        <v>FES1162692476</v>
      </c>
      <c r="C4177" s="7">
        <v>43614</v>
      </c>
      <c r="D4177" s="6">
        <v>1</v>
      </c>
      <c r="E4177" s="6">
        <v>2170688385</v>
      </c>
      <c r="F4177" s="6" t="s">
        <v>16</v>
      </c>
      <c r="G4177" s="6" t="s">
        <v>17</v>
      </c>
      <c r="H4177" s="6" t="s">
        <v>17</v>
      </c>
      <c r="I4177" s="6" t="s">
        <v>610</v>
      </c>
      <c r="J4177" s="6" t="s">
        <v>2046</v>
      </c>
      <c r="K4177" s="7">
        <v>43615</v>
      </c>
      <c r="L4177" s="8">
        <v>0.4375</v>
      </c>
      <c r="M4177" s="6" t="s">
        <v>2047</v>
      </c>
      <c r="N4177" s="6" t="s">
        <v>21</v>
      </c>
      <c r="O4177" s="6" t="s">
        <v>22</v>
      </c>
    </row>
    <row r="4178" spans="1:15" hidden="1">
      <c r="A4178" s="20" t="s">
        <v>15</v>
      </c>
      <c r="B4178" s="20" t="str">
        <f>"FES1162692477"</f>
        <v>FES1162692477</v>
      </c>
      <c r="C4178" s="21">
        <v>43614</v>
      </c>
      <c r="D4178" s="20">
        <v>1</v>
      </c>
      <c r="E4178" s="20">
        <v>2170688391</v>
      </c>
      <c r="F4178" s="20" t="s">
        <v>16</v>
      </c>
      <c r="G4178" s="20" t="s">
        <v>17</v>
      </c>
      <c r="H4178" s="20" t="s">
        <v>59</v>
      </c>
      <c r="I4178" s="20" t="s">
        <v>23</v>
      </c>
      <c r="J4178" s="20" t="s">
        <v>2367</v>
      </c>
      <c r="K4178" s="21">
        <v>43615</v>
      </c>
      <c r="L4178" s="22">
        <v>0.33333333333333331</v>
      </c>
      <c r="M4178" s="20" t="s">
        <v>100</v>
      </c>
      <c r="N4178" s="20" t="s">
        <v>21</v>
      </c>
      <c r="O4178" s="20" t="s">
        <v>22</v>
      </c>
    </row>
    <row r="4179" spans="1:15">
      <c r="A4179" s="6" t="s">
        <v>15</v>
      </c>
      <c r="B4179" s="6" t="str">
        <f>"FES1162692527"</f>
        <v>FES1162692527</v>
      </c>
      <c r="C4179" s="7">
        <v>43614</v>
      </c>
      <c r="D4179" s="6">
        <v>1</v>
      </c>
      <c r="E4179" s="6">
        <v>2170689457</v>
      </c>
      <c r="F4179" s="6" t="s">
        <v>16</v>
      </c>
      <c r="G4179" s="6" t="s">
        <v>17</v>
      </c>
      <c r="H4179" s="6" t="s">
        <v>17</v>
      </c>
      <c r="I4179" s="6" t="s">
        <v>64</v>
      </c>
      <c r="J4179" s="6" t="s">
        <v>116</v>
      </c>
      <c r="K4179" s="7">
        <v>43615</v>
      </c>
      <c r="L4179" s="8">
        <v>0.3354166666666667</v>
      </c>
      <c r="M4179" s="6" t="s">
        <v>481</v>
      </c>
      <c r="N4179" s="6" t="s">
        <v>21</v>
      </c>
      <c r="O4179" s="6" t="s">
        <v>22</v>
      </c>
    </row>
    <row r="4180" spans="1:15">
      <c r="A4180" s="6" t="s">
        <v>15</v>
      </c>
      <c r="B4180" s="6" t="str">
        <f>"FES1162692412"</f>
        <v>FES1162692412</v>
      </c>
      <c r="C4180" s="7">
        <v>43614</v>
      </c>
      <c r="D4180" s="6">
        <v>1</v>
      </c>
      <c r="E4180" s="6">
        <v>2170688287</v>
      </c>
      <c r="F4180" s="6" t="s">
        <v>16</v>
      </c>
      <c r="G4180" s="6" t="s">
        <v>17</v>
      </c>
      <c r="H4180" s="6" t="s">
        <v>17</v>
      </c>
      <c r="I4180" s="6" t="s">
        <v>64</v>
      </c>
      <c r="J4180" s="6" t="s">
        <v>1628</v>
      </c>
      <c r="K4180" s="7">
        <v>43615</v>
      </c>
      <c r="L4180" s="8">
        <v>0.37708333333333338</v>
      </c>
      <c r="M4180" s="6" t="s">
        <v>1629</v>
      </c>
      <c r="N4180" s="6" t="s">
        <v>21</v>
      </c>
      <c r="O4180" s="6" t="s">
        <v>22</v>
      </c>
    </row>
    <row r="4181" spans="1:15">
      <c r="A4181" s="6" t="s">
        <v>15</v>
      </c>
      <c r="B4181" s="6" t="str">
        <f>"FES1162692533"</f>
        <v>FES1162692533</v>
      </c>
      <c r="C4181" s="7">
        <v>43614</v>
      </c>
      <c r="D4181" s="6">
        <v>1</v>
      </c>
      <c r="E4181" s="6">
        <v>2170690775</v>
      </c>
      <c r="F4181" s="6" t="s">
        <v>16</v>
      </c>
      <c r="G4181" s="6" t="s">
        <v>17</v>
      </c>
      <c r="H4181" s="6" t="s">
        <v>17</v>
      </c>
      <c r="I4181" s="6" t="s">
        <v>23</v>
      </c>
      <c r="J4181" s="6" t="s">
        <v>479</v>
      </c>
      <c r="K4181" s="7">
        <v>43615</v>
      </c>
      <c r="L4181" s="8">
        <v>0.3527777777777778</v>
      </c>
      <c r="M4181" s="6" t="s">
        <v>4799</v>
      </c>
      <c r="N4181" s="6" t="s">
        <v>21</v>
      </c>
      <c r="O4181" s="6" t="s">
        <v>22</v>
      </c>
    </row>
    <row r="4182" spans="1:15">
      <c r="A4182" s="6" t="s">
        <v>15</v>
      </c>
      <c r="B4182" s="6" t="str">
        <f>"FES1162692535"</f>
        <v>FES1162692535</v>
      </c>
      <c r="C4182" s="7">
        <v>43614</v>
      </c>
      <c r="D4182" s="6">
        <v>1</v>
      </c>
      <c r="E4182" s="6">
        <v>2170690777</v>
      </c>
      <c r="F4182" s="6" t="s">
        <v>16</v>
      </c>
      <c r="G4182" s="6" t="s">
        <v>17</v>
      </c>
      <c r="H4182" s="6" t="s">
        <v>17</v>
      </c>
      <c r="I4182" s="6" t="s">
        <v>23</v>
      </c>
      <c r="J4182" s="6" t="s">
        <v>479</v>
      </c>
      <c r="K4182" s="7">
        <v>43615</v>
      </c>
      <c r="L4182" s="8">
        <v>0.3527777777777778</v>
      </c>
      <c r="M4182" s="6" t="s">
        <v>4799</v>
      </c>
      <c r="N4182" s="6" t="s">
        <v>21</v>
      </c>
      <c r="O4182" s="6" t="s">
        <v>22</v>
      </c>
    </row>
    <row r="4183" spans="1:15">
      <c r="A4183" s="6" t="s">
        <v>15</v>
      </c>
      <c r="B4183" s="6" t="str">
        <f>"FES1162692353"</f>
        <v>FES1162692353</v>
      </c>
      <c r="C4183" s="7">
        <v>43614</v>
      </c>
      <c r="D4183" s="6">
        <v>1</v>
      </c>
      <c r="E4183" s="6">
        <v>2170690258</v>
      </c>
      <c r="F4183" s="6" t="s">
        <v>16</v>
      </c>
      <c r="G4183" s="6" t="s">
        <v>17</v>
      </c>
      <c r="H4183" s="6" t="s">
        <v>17</v>
      </c>
      <c r="I4183" s="6" t="s">
        <v>414</v>
      </c>
      <c r="J4183" s="6" t="s">
        <v>4397</v>
      </c>
      <c r="K4183" s="7">
        <v>43615</v>
      </c>
      <c r="L4183" s="8">
        <v>0.4375</v>
      </c>
      <c r="M4183" s="6" t="s">
        <v>2498</v>
      </c>
      <c r="N4183" s="6" t="s">
        <v>21</v>
      </c>
      <c r="O4183" s="6" t="s">
        <v>22</v>
      </c>
    </row>
    <row r="4184" spans="1:15">
      <c r="A4184" s="6" t="s">
        <v>15</v>
      </c>
      <c r="B4184" s="6" t="str">
        <f>"FES1162692400"</f>
        <v>FES1162692400</v>
      </c>
      <c r="C4184" s="7">
        <v>43614</v>
      </c>
      <c r="D4184" s="6">
        <v>1</v>
      </c>
      <c r="E4184" s="6">
        <v>2170690759</v>
      </c>
      <c r="F4184" s="6" t="s">
        <v>16</v>
      </c>
      <c r="G4184" s="6" t="s">
        <v>17</v>
      </c>
      <c r="H4184" s="6" t="s">
        <v>17</v>
      </c>
      <c r="I4184" s="6" t="s">
        <v>701</v>
      </c>
      <c r="J4184" s="6" t="s">
        <v>4800</v>
      </c>
      <c r="K4184" s="7">
        <v>43615</v>
      </c>
      <c r="L4184" s="8">
        <v>0.34722222222222227</v>
      </c>
      <c r="M4184" s="6" t="s">
        <v>4801</v>
      </c>
      <c r="N4184" s="6" t="s">
        <v>21</v>
      </c>
      <c r="O4184" s="6" t="s">
        <v>22</v>
      </c>
    </row>
    <row r="4185" spans="1:15">
      <c r="A4185" s="6" t="s">
        <v>15</v>
      </c>
      <c r="B4185" s="6" t="str">
        <f>"FES1162692528"</f>
        <v>FES1162692528</v>
      </c>
      <c r="C4185" s="7">
        <v>43614</v>
      </c>
      <c r="D4185" s="6">
        <v>1</v>
      </c>
      <c r="E4185" s="6">
        <v>21706896174</v>
      </c>
      <c r="F4185" s="6" t="s">
        <v>16</v>
      </c>
      <c r="G4185" s="6" t="s">
        <v>17</v>
      </c>
      <c r="H4185" s="6" t="s">
        <v>17</v>
      </c>
      <c r="I4185" s="6" t="s">
        <v>29</v>
      </c>
      <c r="J4185" s="6" t="s">
        <v>109</v>
      </c>
      <c r="K4185" s="7">
        <v>43615</v>
      </c>
      <c r="L4185" s="8">
        <v>0.43402777777777773</v>
      </c>
      <c r="M4185" s="6" t="s">
        <v>1748</v>
      </c>
      <c r="N4185" s="6" t="s">
        <v>21</v>
      </c>
      <c r="O4185" s="6" t="s">
        <v>22</v>
      </c>
    </row>
    <row r="4186" spans="1:15">
      <c r="A4186" s="6" t="s">
        <v>15</v>
      </c>
      <c r="B4186" s="6" t="str">
        <f>"FES1162692441"</f>
        <v>FES1162692441</v>
      </c>
      <c r="C4186" s="7">
        <v>43614</v>
      </c>
      <c r="D4186" s="6">
        <v>1</v>
      </c>
      <c r="E4186" s="6">
        <v>2170689066</v>
      </c>
      <c r="F4186" s="6" t="s">
        <v>16</v>
      </c>
      <c r="G4186" s="6" t="s">
        <v>17</v>
      </c>
      <c r="H4186" s="6" t="s">
        <v>17</v>
      </c>
      <c r="I4186" s="6" t="s">
        <v>103</v>
      </c>
      <c r="J4186" s="6" t="s">
        <v>616</v>
      </c>
      <c r="K4186" s="7">
        <v>43615</v>
      </c>
      <c r="L4186" s="8">
        <v>0.4375</v>
      </c>
      <c r="M4186" s="6" t="s">
        <v>645</v>
      </c>
      <c r="N4186" s="6" t="s">
        <v>21</v>
      </c>
      <c r="O4186" s="6" t="s">
        <v>22</v>
      </c>
    </row>
    <row r="4187" spans="1:15">
      <c r="A4187" s="6" t="s">
        <v>15</v>
      </c>
      <c r="B4187" s="6" t="str">
        <f>"FES1162692550"</f>
        <v>FES1162692550</v>
      </c>
      <c r="C4187" s="7">
        <v>43614</v>
      </c>
      <c r="D4187" s="6">
        <v>1</v>
      </c>
      <c r="E4187" s="6">
        <v>2170690793</v>
      </c>
      <c r="F4187" s="6" t="s">
        <v>16</v>
      </c>
      <c r="G4187" s="6" t="s">
        <v>17</v>
      </c>
      <c r="H4187" s="6" t="s">
        <v>17</v>
      </c>
      <c r="I4187" s="6" t="s">
        <v>421</v>
      </c>
      <c r="J4187" s="6" t="s">
        <v>885</v>
      </c>
      <c r="K4187" s="7">
        <v>43615</v>
      </c>
      <c r="L4187" s="8">
        <v>0.33333333333333331</v>
      </c>
      <c r="M4187" s="6" t="s">
        <v>3869</v>
      </c>
      <c r="N4187" s="6" t="s">
        <v>21</v>
      </c>
      <c r="O4187" s="6" t="s">
        <v>22</v>
      </c>
    </row>
    <row r="4188" spans="1:15">
      <c r="A4188" s="6" t="s">
        <v>15</v>
      </c>
      <c r="B4188" s="6" t="str">
        <f>"FES1162692534"</f>
        <v>FES1162692534</v>
      </c>
      <c r="C4188" s="7">
        <v>43614</v>
      </c>
      <c r="D4188" s="6">
        <v>1</v>
      </c>
      <c r="E4188" s="6">
        <v>21706970076</v>
      </c>
      <c r="F4188" s="6" t="s">
        <v>16</v>
      </c>
      <c r="G4188" s="6" t="s">
        <v>17</v>
      </c>
      <c r="H4188" s="6" t="s">
        <v>17</v>
      </c>
      <c r="I4188" s="6" t="s">
        <v>23</v>
      </c>
      <c r="J4188" s="6" t="s">
        <v>479</v>
      </c>
      <c r="K4188" s="7">
        <v>43615</v>
      </c>
      <c r="L4188" s="8">
        <v>0.3527777777777778</v>
      </c>
      <c r="M4188" s="6" t="s">
        <v>4799</v>
      </c>
      <c r="N4188" s="6" t="s">
        <v>21</v>
      </c>
      <c r="O4188" s="6" t="s">
        <v>22</v>
      </c>
    </row>
    <row r="4189" spans="1:15">
      <c r="A4189" s="6" t="s">
        <v>15</v>
      </c>
      <c r="B4189" s="6" t="str">
        <f>"FES1162692536"</f>
        <v>FES1162692536</v>
      </c>
      <c r="C4189" s="7">
        <v>43614</v>
      </c>
      <c r="D4189" s="6">
        <v>1</v>
      </c>
      <c r="E4189" s="6">
        <v>2170690778</v>
      </c>
      <c r="F4189" s="6" t="s">
        <v>16</v>
      </c>
      <c r="G4189" s="6" t="s">
        <v>17</v>
      </c>
      <c r="H4189" s="6" t="s">
        <v>17</v>
      </c>
      <c r="I4189" s="6" t="s">
        <v>23</v>
      </c>
      <c r="J4189" s="6" t="s">
        <v>479</v>
      </c>
      <c r="K4189" s="7">
        <v>43615</v>
      </c>
      <c r="L4189" s="8">
        <v>0.35069444444444442</v>
      </c>
      <c r="M4189" s="6" t="s">
        <v>4799</v>
      </c>
      <c r="N4189" s="6" t="s">
        <v>21</v>
      </c>
      <c r="O4189" s="6" t="s">
        <v>22</v>
      </c>
    </row>
    <row r="4190" spans="1:15">
      <c r="A4190" s="6" t="s">
        <v>15</v>
      </c>
      <c r="B4190" s="6" t="str">
        <f>"FES1162692569"</f>
        <v>FES1162692569</v>
      </c>
      <c r="C4190" s="7">
        <v>43614</v>
      </c>
      <c r="D4190" s="6">
        <v>1</v>
      </c>
      <c r="E4190" s="6">
        <v>2170690819</v>
      </c>
      <c r="F4190" s="6" t="s">
        <v>16</v>
      </c>
      <c r="G4190" s="6" t="s">
        <v>17</v>
      </c>
      <c r="H4190" s="6" t="s">
        <v>17</v>
      </c>
      <c r="I4190" s="6" t="s">
        <v>64</v>
      </c>
      <c r="J4190" s="6" t="s">
        <v>878</v>
      </c>
      <c r="K4190" s="7">
        <v>43615</v>
      </c>
      <c r="L4190" s="8">
        <v>0.40486111111111112</v>
      </c>
      <c r="M4190" s="6" t="s">
        <v>4802</v>
      </c>
      <c r="N4190" s="6" t="s">
        <v>21</v>
      </c>
      <c r="O4190" s="6" t="s">
        <v>22</v>
      </c>
    </row>
    <row r="4191" spans="1:15">
      <c r="A4191" s="6" t="s">
        <v>15</v>
      </c>
      <c r="B4191" s="6" t="str">
        <f>"FES1162692427"</f>
        <v>FES1162692427</v>
      </c>
      <c r="C4191" s="7">
        <v>43614</v>
      </c>
      <c r="D4191" s="6">
        <v>1</v>
      </c>
      <c r="E4191" s="6">
        <v>2170688877</v>
      </c>
      <c r="F4191" s="6" t="s">
        <v>16</v>
      </c>
      <c r="G4191" s="6" t="s">
        <v>17</v>
      </c>
      <c r="H4191" s="6" t="s">
        <v>17</v>
      </c>
      <c r="I4191" s="6" t="s">
        <v>148</v>
      </c>
      <c r="J4191" s="6" t="s">
        <v>153</v>
      </c>
      <c r="K4191" s="7">
        <v>43615</v>
      </c>
      <c r="L4191" s="8">
        <v>0.69652777777777775</v>
      </c>
      <c r="M4191" s="6" t="s">
        <v>4803</v>
      </c>
      <c r="N4191" s="6" t="s">
        <v>21</v>
      </c>
      <c r="O4191" s="6" t="s">
        <v>22</v>
      </c>
    </row>
    <row r="4192" spans="1:15" hidden="1">
      <c r="A4192" s="3" t="s">
        <v>15</v>
      </c>
      <c r="B4192" s="3" t="str">
        <f>"FES1162692355"</f>
        <v>FES1162692355</v>
      </c>
      <c r="C4192" s="4">
        <v>43614</v>
      </c>
      <c r="D4192" s="3">
        <v>1</v>
      </c>
      <c r="E4192" s="3">
        <v>2170690669</v>
      </c>
      <c r="F4192" s="3" t="s">
        <v>16</v>
      </c>
      <c r="G4192" s="3" t="s">
        <v>17</v>
      </c>
      <c r="H4192" s="3" t="s">
        <v>290</v>
      </c>
      <c r="I4192" s="3" t="s">
        <v>309</v>
      </c>
      <c r="J4192" s="3" t="s">
        <v>4804</v>
      </c>
      <c r="K4192" s="4">
        <v>43615</v>
      </c>
      <c r="L4192" s="5">
        <v>0.35833333333333334</v>
      </c>
      <c r="M4192" s="3" t="s">
        <v>4805</v>
      </c>
      <c r="N4192" s="20" t="s">
        <v>21</v>
      </c>
      <c r="O4192" s="3" t="s">
        <v>22</v>
      </c>
    </row>
    <row r="4193" spans="1:15" hidden="1">
      <c r="A4193" s="6" t="s">
        <v>15</v>
      </c>
      <c r="B4193" s="6" t="str">
        <f>"FES1162692529"</f>
        <v>FES1162692529</v>
      </c>
      <c r="C4193" s="7">
        <v>43614</v>
      </c>
      <c r="D4193" s="6">
        <v>2</v>
      </c>
      <c r="E4193" s="6">
        <v>2170690281</v>
      </c>
      <c r="F4193" s="6" t="s">
        <v>16</v>
      </c>
      <c r="G4193" s="6" t="s">
        <v>17</v>
      </c>
      <c r="H4193" s="6" t="s">
        <v>43</v>
      </c>
      <c r="I4193" s="6" t="s">
        <v>75</v>
      </c>
      <c r="J4193" s="6" t="s">
        <v>2223</v>
      </c>
      <c r="K4193" s="7">
        <v>43615</v>
      </c>
      <c r="L4193" s="8">
        <v>0.4826388888888889</v>
      </c>
      <c r="M4193" s="6" t="s">
        <v>2880</v>
      </c>
      <c r="N4193" s="14" t="s">
        <v>21</v>
      </c>
      <c r="O4193" s="6" t="s">
        <v>22</v>
      </c>
    </row>
    <row r="4194" spans="1:15" hidden="1">
      <c r="A4194" s="14" t="s">
        <v>15</v>
      </c>
      <c r="B4194" s="14" t="str">
        <f>"FES1162692578"</f>
        <v>FES1162692578</v>
      </c>
      <c r="C4194" s="15">
        <v>43614</v>
      </c>
      <c r="D4194" s="14">
        <v>1</v>
      </c>
      <c r="E4194" s="14">
        <v>2170690831</v>
      </c>
      <c r="F4194" s="14" t="s">
        <v>16</v>
      </c>
      <c r="G4194" s="14" t="s">
        <v>17</v>
      </c>
      <c r="H4194" s="14" t="s">
        <v>290</v>
      </c>
      <c r="I4194" s="14" t="s">
        <v>309</v>
      </c>
      <c r="J4194" s="14" t="s">
        <v>4806</v>
      </c>
      <c r="K4194" s="15">
        <v>43615</v>
      </c>
      <c r="L4194" s="16">
        <v>0.40347222222222223</v>
      </c>
      <c r="M4194" s="14" t="s">
        <v>4807</v>
      </c>
      <c r="N4194" s="14" t="s">
        <v>21</v>
      </c>
      <c r="O4194" s="14" t="s">
        <v>22</v>
      </c>
    </row>
    <row r="4195" spans="1:15">
      <c r="A4195" s="6" t="s">
        <v>15</v>
      </c>
      <c r="B4195" s="6" t="str">
        <f>"FES1162692590"</f>
        <v>FES1162692590</v>
      </c>
      <c r="C4195" s="7">
        <v>43614</v>
      </c>
      <c r="D4195" s="6">
        <v>1</v>
      </c>
      <c r="E4195" s="6">
        <v>2170690845</v>
      </c>
      <c r="F4195" s="6" t="s">
        <v>16</v>
      </c>
      <c r="G4195" s="6" t="s">
        <v>17</v>
      </c>
      <c r="H4195" s="6" t="s">
        <v>17</v>
      </c>
      <c r="I4195" s="6" t="s">
        <v>26</v>
      </c>
      <c r="J4195" s="6" t="s">
        <v>27</v>
      </c>
      <c r="K4195" s="7">
        <v>43615</v>
      </c>
      <c r="L4195" s="8">
        <v>0.47083333333333338</v>
      </c>
      <c r="M4195" s="6" t="s">
        <v>3502</v>
      </c>
      <c r="N4195" s="6" t="s">
        <v>21</v>
      </c>
      <c r="O4195" s="6" t="s">
        <v>22</v>
      </c>
    </row>
    <row r="4196" spans="1:15">
      <c r="A4196" s="6" t="s">
        <v>15</v>
      </c>
      <c r="B4196" s="6" t="str">
        <f>"FES1162692594"</f>
        <v>FES1162692594</v>
      </c>
      <c r="C4196" s="7">
        <v>43614</v>
      </c>
      <c r="D4196" s="6">
        <v>1</v>
      </c>
      <c r="E4196" s="6">
        <v>2170690849</v>
      </c>
      <c r="F4196" s="6" t="s">
        <v>16</v>
      </c>
      <c r="G4196" s="6" t="s">
        <v>17</v>
      </c>
      <c r="H4196" s="6" t="s">
        <v>17</v>
      </c>
      <c r="I4196" s="6" t="s">
        <v>26</v>
      </c>
      <c r="J4196" s="6" t="s">
        <v>3882</v>
      </c>
      <c r="K4196" s="7">
        <v>43615</v>
      </c>
      <c r="L4196" s="8">
        <v>0.33333333333333331</v>
      </c>
      <c r="M4196" s="6" t="s">
        <v>3100</v>
      </c>
      <c r="N4196" s="6" t="s">
        <v>21</v>
      </c>
      <c r="O4196" s="6" t="s">
        <v>22</v>
      </c>
    </row>
    <row r="4197" spans="1:15">
      <c r="A4197" s="6" t="s">
        <v>15</v>
      </c>
      <c r="B4197" s="6" t="str">
        <f>"FES1162692444"</f>
        <v>FES1162692444</v>
      </c>
      <c r="C4197" s="7">
        <v>43614</v>
      </c>
      <c r="D4197" s="6">
        <v>1</v>
      </c>
      <c r="E4197" s="6">
        <v>2170689258</v>
      </c>
      <c r="F4197" s="6" t="s">
        <v>16</v>
      </c>
      <c r="G4197" s="6" t="s">
        <v>17</v>
      </c>
      <c r="H4197" s="6" t="s">
        <v>17</v>
      </c>
      <c r="I4197" s="6" t="s">
        <v>148</v>
      </c>
      <c r="J4197" s="6" t="s">
        <v>3890</v>
      </c>
      <c r="K4197" s="7">
        <v>43615</v>
      </c>
      <c r="L4197" s="8">
        <v>0.70000000000000007</v>
      </c>
      <c r="M4197" s="6" t="s">
        <v>650</v>
      </c>
      <c r="N4197" s="6" t="s">
        <v>21</v>
      </c>
      <c r="O4197" s="6" t="s">
        <v>22</v>
      </c>
    </row>
    <row r="4198" spans="1:15">
      <c r="A4198" s="6" t="s">
        <v>15</v>
      </c>
      <c r="B4198" s="6" t="str">
        <f>"FES1162692416"</f>
        <v>FES1162692416</v>
      </c>
      <c r="C4198" s="7">
        <v>43614</v>
      </c>
      <c r="D4198" s="6">
        <v>1</v>
      </c>
      <c r="E4198" s="6">
        <v>2170688648</v>
      </c>
      <c r="F4198" s="6" t="s">
        <v>16</v>
      </c>
      <c r="G4198" s="6" t="s">
        <v>17</v>
      </c>
      <c r="H4198" s="6" t="s">
        <v>17</v>
      </c>
      <c r="I4198" s="6" t="s">
        <v>23</v>
      </c>
      <c r="J4198" s="6" t="s">
        <v>2367</v>
      </c>
      <c r="K4198" s="7">
        <v>43615</v>
      </c>
      <c r="L4198" s="8">
        <v>0.33333333333333331</v>
      </c>
      <c r="M4198" s="6" t="s">
        <v>100</v>
      </c>
      <c r="N4198" s="6" t="s">
        <v>21</v>
      </c>
      <c r="O4198" s="6" t="s">
        <v>22</v>
      </c>
    </row>
    <row r="4199" spans="1:15" hidden="1">
      <c r="A4199" t="s">
        <v>15</v>
      </c>
      <c r="B4199" t="str">
        <f>"FES1162692591"</f>
        <v>FES1162692591</v>
      </c>
      <c r="C4199" s="9">
        <v>43614</v>
      </c>
      <c r="D4199">
        <v>1</v>
      </c>
      <c r="E4199">
        <v>2170688675</v>
      </c>
      <c r="F4199" t="s">
        <v>16</v>
      </c>
      <c r="G4199" t="s">
        <v>17</v>
      </c>
      <c r="H4199" t="s">
        <v>32</v>
      </c>
      <c r="I4199" t="s">
        <v>33</v>
      </c>
      <c r="J4199" t="s">
        <v>2917</v>
      </c>
      <c r="K4199" s="9">
        <v>43615</v>
      </c>
      <c r="L4199" s="10">
        <v>0.3743055555555555</v>
      </c>
      <c r="M4199" t="s">
        <v>4808</v>
      </c>
      <c r="N4199" t="s">
        <v>4809</v>
      </c>
      <c r="O4199" t="s">
        <v>22</v>
      </c>
    </row>
    <row r="4200" spans="1:15">
      <c r="A4200" s="6" t="s">
        <v>15</v>
      </c>
      <c r="B4200" s="6" t="str">
        <f>"FES1162692538"</f>
        <v>FES1162692538</v>
      </c>
      <c r="C4200" s="7">
        <v>43614</v>
      </c>
      <c r="D4200" s="6">
        <v>1</v>
      </c>
      <c r="E4200" s="6">
        <v>2170690780</v>
      </c>
      <c r="F4200" s="6" t="s">
        <v>16</v>
      </c>
      <c r="G4200" s="6" t="s">
        <v>17</v>
      </c>
      <c r="H4200" s="6" t="s">
        <v>17</v>
      </c>
      <c r="I4200" s="6" t="s">
        <v>103</v>
      </c>
      <c r="J4200" s="6" t="s">
        <v>108</v>
      </c>
      <c r="K4200" s="7">
        <v>43615</v>
      </c>
      <c r="L4200" s="8">
        <v>0.33333333333333331</v>
      </c>
      <c r="M4200" s="6" t="s">
        <v>100</v>
      </c>
      <c r="N4200" s="6" t="s">
        <v>21</v>
      </c>
      <c r="O4200" s="6" t="s">
        <v>22</v>
      </c>
    </row>
    <row r="4201" spans="1:15" hidden="1">
      <c r="A4201" t="s">
        <v>15</v>
      </c>
      <c r="B4201" t="str">
        <f>"FES1162692611"</f>
        <v>FES1162692611</v>
      </c>
      <c r="C4201" s="9">
        <v>43614</v>
      </c>
      <c r="D4201">
        <v>1</v>
      </c>
      <c r="E4201">
        <v>2170690869</v>
      </c>
      <c r="F4201" t="s">
        <v>16</v>
      </c>
      <c r="G4201" t="s">
        <v>17</v>
      </c>
      <c r="H4201" t="s">
        <v>32</v>
      </c>
      <c r="I4201" t="s">
        <v>33</v>
      </c>
      <c r="J4201" t="s">
        <v>365</v>
      </c>
      <c r="K4201" s="9">
        <v>43615</v>
      </c>
      <c r="L4201" s="10">
        <v>0.3888888888888889</v>
      </c>
      <c r="M4201" t="s">
        <v>1344</v>
      </c>
      <c r="N4201" t="s">
        <v>4810</v>
      </c>
      <c r="O4201" t="s">
        <v>22</v>
      </c>
    </row>
    <row r="4202" spans="1:15" hidden="1">
      <c r="A4202" t="s">
        <v>15</v>
      </c>
      <c r="B4202" t="str">
        <f>"FES1162692607"</f>
        <v>FES1162692607</v>
      </c>
      <c r="C4202" s="9">
        <v>43614</v>
      </c>
      <c r="D4202">
        <v>1</v>
      </c>
      <c r="E4202">
        <v>21706890865</v>
      </c>
      <c r="F4202" t="s">
        <v>16</v>
      </c>
      <c r="G4202" t="s">
        <v>17</v>
      </c>
      <c r="H4202" t="s">
        <v>32</v>
      </c>
      <c r="I4202" t="s">
        <v>33</v>
      </c>
      <c r="J4202" t="s">
        <v>365</v>
      </c>
      <c r="K4202" s="9">
        <v>43615</v>
      </c>
      <c r="L4202" s="10">
        <v>0.3888888888888889</v>
      </c>
      <c r="M4202" t="s">
        <v>1658</v>
      </c>
      <c r="N4202" t="s">
        <v>4811</v>
      </c>
      <c r="O4202" t="s">
        <v>22</v>
      </c>
    </row>
    <row r="4203" spans="1:15" hidden="1">
      <c r="A4203" t="s">
        <v>15</v>
      </c>
      <c r="B4203" t="str">
        <f>"FES1162692612"</f>
        <v>FES1162692612</v>
      </c>
      <c r="C4203" s="9">
        <v>43614</v>
      </c>
      <c r="D4203">
        <v>1</v>
      </c>
      <c r="E4203">
        <v>2170690870</v>
      </c>
      <c r="F4203" t="s">
        <v>16</v>
      </c>
      <c r="G4203" t="s">
        <v>17</v>
      </c>
      <c r="H4203" t="s">
        <v>32</v>
      </c>
      <c r="I4203" t="s">
        <v>33</v>
      </c>
      <c r="J4203" t="s">
        <v>357</v>
      </c>
      <c r="K4203" s="9">
        <v>43615</v>
      </c>
      <c r="L4203" s="10">
        <v>0.43402777777777773</v>
      </c>
      <c r="M4203" t="s">
        <v>2201</v>
      </c>
      <c r="N4203" t="s">
        <v>4812</v>
      </c>
      <c r="O4203" t="s">
        <v>22</v>
      </c>
    </row>
    <row r="4204" spans="1:15" hidden="1">
      <c r="A4204" t="s">
        <v>15</v>
      </c>
      <c r="B4204" t="str">
        <f>"FES1162692615"</f>
        <v>FES1162692615</v>
      </c>
      <c r="C4204" s="9">
        <v>43614</v>
      </c>
      <c r="D4204">
        <v>1</v>
      </c>
      <c r="E4204">
        <v>2170690878</v>
      </c>
      <c r="F4204" t="s">
        <v>16</v>
      </c>
      <c r="G4204" t="s">
        <v>17</v>
      </c>
      <c r="H4204" t="s">
        <v>32</v>
      </c>
      <c r="I4204" t="s">
        <v>33</v>
      </c>
      <c r="J4204" t="s">
        <v>3185</v>
      </c>
      <c r="K4204" s="9">
        <v>43615</v>
      </c>
      <c r="L4204" s="10">
        <v>0.4236111111111111</v>
      </c>
      <c r="M4204" t="s">
        <v>3823</v>
      </c>
      <c r="N4204" t="s">
        <v>4813</v>
      </c>
      <c r="O4204" t="s">
        <v>22</v>
      </c>
    </row>
    <row r="4205" spans="1:15" hidden="1">
      <c r="A4205" t="s">
        <v>15</v>
      </c>
      <c r="B4205" t="str">
        <f>"FES1162692628"</f>
        <v>FES1162692628</v>
      </c>
      <c r="C4205" s="9">
        <v>43614</v>
      </c>
      <c r="D4205">
        <v>1</v>
      </c>
      <c r="E4205">
        <v>2170690879</v>
      </c>
      <c r="F4205" t="s">
        <v>16</v>
      </c>
      <c r="G4205" t="s">
        <v>17</v>
      </c>
      <c r="H4205" t="s">
        <v>32</v>
      </c>
      <c r="I4205" t="s">
        <v>33</v>
      </c>
      <c r="J4205" t="s">
        <v>360</v>
      </c>
      <c r="K4205" s="9">
        <v>43615</v>
      </c>
      <c r="L4205" s="10">
        <v>0.35069444444444442</v>
      </c>
      <c r="M4205" t="s">
        <v>361</v>
      </c>
      <c r="N4205" t="s">
        <v>4814</v>
      </c>
      <c r="O4205" t="s">
        <v>22</v>
      </c>
    </row>
    <row r="4206" spans="1:15" hidden="1">
      <c r="A4206" t="s">
        <v>15</v>
      </c>
      <c r="B4206" t="str">
        <f>"FES1162692616"</f>
        <v>FES1162692616</v>
      </c>
      <c r="C4206" s="9">
        <v>43614</v>
      </c>
      <c r="D4206">
        <v>1</v>
      </c>
      <c r="E4206">
        <v>2170690253</v>
      </c>
      <c r="F4206" t="s">
        <v>16</v>
      </c>
      <c r="G4206" t="s">
        <v>17</v>
      </c>
      <c r="H4206" t="s">
        <v>43</v>
      </c>
      <c r="I4206" t="s">
        <v>75</v>
      </c>
      <c r="J4206" t="s">
        <v>3422</v>
      </c>
      <c r="K4206" s="9">
        <v>43615</v>
      </c>
      <c r="L4206" s="10">
        <v>0.33611111111111108</v>
      </c>
      <c r="M4206" t="s">
        <v>4815</v>
      </c>
      <c r="N4206" t="s">
        <v>4816</v>
      </c>
      <c r="O4206" t="s">
        <v>22</v>
      </c>
    </row>
    <row r="4207" spans="1:15" hidden="1">
      <c r="A4207" s="6" t="s">
        <v>15</v>
      </c>
      <c r="B4207" s="6" t="str">
        <f>"FES1162692589"</f>
        <v>FES1162692589</v>
      </c>
      <c r="C4207" s="7">
        <v>43614</v>
      </c>
      <c r="D4207" s="6">
        <v>1</v>
      </c>
      <c r="E4207" s="6">
        <v>2170690841</v>
      </c>
      <c r="F4207" s="6" t="s">
        <v>16</v>
      </c>
      <c r="G4207" s="6" t="s">
        <v>17</v>
      </c>
      <c r="H4207" s="6" t="s">
        <v>43</v>
      </c>
      <c r="I4207" s="6" t="s">
        <v>44</v>
      </c>
      <c r="J4207" s="6" t="s">
        <v>225</v>
      </c>
      <c r="K4207" s="7">
        <v>43615</v>
      </c>
      <c r="L4207" s="8">
        <v>0.3923611111111111</v>
      </c>
      <c r="M4207" s="6" t="s">
        <v>2709</v>
      </c>
      <c r="N4207" s="14" t="s">
        <v>21</v>
      </c>
      <c r="O4207" s="6" t="s">
        <v>22</v>
      </c>
    </row>
    <row r="4208" spans="1:15" hidden="1">
      <c r="A4208" s="6" t="s">
        <v>15</v>
      </c>
      <c r="B4208" s="6" t="str">
        <f>"FES1162692599"</f>
        <v>FES1162692599</v>
      </c>
      <c r="C4208" s="7">
        <v>43614</v>
      </c>
      <c r="D4208" s="6">
        <v>1</v>
      </c>
      <c r="E4208" s="6">
        <v>2170690856</v>
      </c>
      <c r="F4208" s="6" t="s">
        <v>16</v>
      </c>
      <c r="G4208" s="6" t="s">
        <v>17</v>
      </c>
      <c r="H4208" s="6" t="s">
        <v>425</v>
      </c>
      <c r="I4208" s="6" t="s">
        <v>426</v>
      </c>
      <c r="J4208" s="6" t="s">
        <v>783</v>
      </c>
      <c r="K4208" s="7">
        <v>43615</v>
      </c>
      <c r="L4208" s="8">
        <v>0.37986111111111115</v>
      </c>
      <c r="M4208" s="6" t="s">
        <v>784</v>
      </c>
      <c r="N4208" s="14" t="s">
        <v>21</v>
      </c>
      <c r="O4208" s="6" t="s">
        <v>22</v>
      </c>
    </row>
    <row r="4209" spans="1:15" hidden="1">
      <c r="A4209" s="6" t="s">
        <v>15</v>
      </c>
      <c r="B4209" s="6" t="str">
        <f>"FES1162692631"</f>
        <v>FES1162692631</v>
      </c>
      <c r="C4209" s="7">
        <v>43614</v>
      </c>
      <c r="D4209" s="6">
        <v>1</v>
      </c>
      <c r="E4209" s="6">
        <v>2170690883</v>
      </c>
      <c r="F4209" s="6" t="s">
        <v>16</v>
      </c>
      <c r="G4209" s="6" t="s">
        <v>17</v>
      </c>
      <c r="H4209" s="6" t="s">
        <v>43</v>
      </c>
      <c r="I4209" s="6" t="s">
        <v>44</v>
      </c>
      <c r="J4209" s="6" t="s">
        <v>3794</v>
      </c>
      <c r="K4209" s="7">
        <v>43615</v>
      </c>
      <c r="L4209" s="8">
        <v>0.37638888888888888</v>
      </c>
      <c r="M4209" s="6" t="s">
        <v>3795</v>
      </c>
      <c r="N4209" s="14" t="s">
        <v>21</v>
      </c>
      <c r="O4209" s="6" t="s">
        <v>22</v>
      </c>
    </row>
    <row r="4210" spans="1:15" hidden="1">
      <c r="A4210" t="s">
        <v>15</v>
      </c>
      <c r="B4210" t="str">
        <f>"FES1162692597"</f>
        <v>FES1162692597</v>
      </c>
      <c r="C4210" s="9">
        <v>43614</v>
      </c>
      <c r="D4210">
        <v>1</v>
      </c>
      <c r="E4210">
        <v>2170680853</v>
      </c>
      <c r="F4210" t="s">
        <v>16</v>
      </c>
      <c r="G4210" t="s">
        <v>17</v>
      </c>
      <c r="H4210" t="s">
        <v>43</v>
      </c>
      <c r="I4210" t="s">
        <v>44</v>
      </c>
      <c r="J4210" t="s">
        <v>748</v>
      </c>
      <c r="K4210" s="9">
        <v>43615</v>
      </c>
      <c r="L4210" s="10">
        <v>0.41666666666666669</v>
      </c>
      <c r="M4210" t="s">
        <v>4817</v>
      </c>
      <c r="N4210" t="s">
        <v>4818</v>
      </c>
      <c r="O4210" t="s">
        <v>22</v>
      </c>
    </row>
    <row r="4211" spans="1:15">
      <c r="A4211" s="6" t="s">
        <v>15</v>
      </c>
      <c r="B4211" s="6" t="str">
        <f>"FES1162692396"</f>
        <v>FES1162692396</v>
      </c>
      <c r="C4211" s="7">
        <v>43614</v>
      </c>
      <c r="D4211" s="6">
        <v>1</v>
      </c>
      <c r="E4211" s="6">
        <v>2170690734</v>
      </c>
      <c r="F4211" s="6" t="s">
        <v>16</v>
      </c>
      <c r="G4211" s="6" t="s">
        <v>17</v>
      </c>
      <c r="H4211" s="6" t="s">
        <v>17</v>
      </c>
      <c r="I4211" s="6" t="s">
        <v>414</v>
      </c>
      <c r="J4211" s="6" t="s">
        <v>1636</v>
      </c>
      <c r="K4211" s="7">
        <v>43615</v>
      </c>
      <c r="L4211" s="8">
        <v>0.4375</v>
      </c>
      <c r="M4211" s="6" t="s">
        <v>4819</v>
      </c>
      <c r="N4211" s="6" t="s">
        <v>21</v>
      </c>
      <c r="O4211" s="6" t="s">
        <v>22</v>
      </c>
    </row>
    <row r="4212" spans="1:15">
      <c r="A4212" s="6" t="s">
        <v>15</v>
      </c>
      <c r="B4212" s="6" t="str">
        <f>"FES1162692454"</f>
        <v>FES1162692454</v>
      </c>
      <c r="C4212" s="7">
        <v>43614</v>
      </c>
      <c r="D4212" s="6">
        <v>1</v>
      </c>
      <c r="E4212" s="6">
        <v>2170690762</v>
      </c>
      <c r="F4212" s="6" t="s">
        <v>16</v>
      </c>
      <c r="G4212" s="6" t="s">
        <v>17</v>
      </c>
      <c r="H4212" s="6" t="s">
        <v>17</v>
      </c>
      <c r="I4212" s="6" t="s">
        <v>23</v>
      </c>
      <c r="J4212" s="6" t="s">
        <v>119</v>
      </c>
      <c r="K4212" s="7">
        <v>43615</v>
      </c>
      <c r="L4212" s="8">
        <v>0.28333333333333333</v>
      </c>
      <c r="M4212" s="6" t="s">
        <v>1473</v>
      </c>
      <c r="N4212" s="6" t="s">
        <v>21</v>
      </c>
      <c r="O4212" s="6" t="s">
        <v>22</v>
      </c>
    </row>
    <row r="4213" spans="1:15">
      <c r="A4213" s="6" t="s">
        <v>15</v>
      </c>
      <c r="B4213" s="6" t="str">
        <f>"FES1162692398"</f>
        <v>FES1162692398</v>
      </c>
      <c r="C4213" s="7">
        <v>43614</v>
      </c>
      <c r="D4213" s="6">
        <v>1</v>
      </c>
      <c r="E4213" s="6">
        <v>2170690755</v>
      </c>
      <c r="F4213" s="6" t="s">
        <v>16</v>
      </c>
      <c r="G4213" s="6" t="s">
        <v>17</v>
      </c>
      <c r="H4213" s="6" t="s">
        <v>17</v>
      </c>
      <c r="I4213" s="6" t="s">
        <v>421</v>
      </c>
      <c r="J4213" s="6" t="s">
        <v>885</v>
      </c>
      <c r="K4213" s="7">
        <v>43615</v>
      </c>
      <c r="L4213" s="8">
        <v>0.33333333333333331</v>
      </c>
      <c r="M4213" s="6" t="s">
        <v>3869</v>
      </c>
      <c r="N4213" s="6" t="s">
        <v>21</v>
      </c>
      <c r="O4213" s="6" t="s">
        <v>22</v>
      </c>
    </row>
    <row r="4214" spans="1:15" hidden="1">
      <c r="A4214" t="s">
        <v>15</v>
      </c>
      <c r="B4214" t="str">
        <f>"FES1162692495"</f>
        <v>FES1162692495</v>
      </c>
      <c r="C4214" s="9">
        <v>43614</v>
      </c>
      <c r="D4214">
        <v>1</v>
      </c>
      <c r="E4214">
        <v>2170688585</v>
      </c>
      <c r="F4214" t="s">
        <v>16</v>
      </c>
      <c r="G4214" t="s">
        <v>17</v>
      </c>
      <c r="H4214" t="s">
        <v>300</v>
      </c>
      <c r="I4214" t="s">
        <v>301</v>
      </c>
      <c r="J4214" t="s">
        <v>3188</v>
      </c>
      <c r="K4214" s="9">
        <v>43615</v>
      </c>
      <c r="L4214" s="10">
        <v>0.34166666666666662</v>
      </c>
      <c r="M4214" t="s">
        <v>507</v>
      </c>
      <c r="N4214" t="s">
        <v>4820</v>
      </c>
      <c r="O4214" t="s">
        <v>22</v>
      </c>
    </row>
    <row r="4215" spans="1:15" hidden="1">
      <c r="A4215" t="s">
        <v>15</v>
      </c>
      <c r="B4215" t="str">
        <f>"FES1162692371"</f>
        <v>FES1162692371</v>
      </c>
      <c r="C4215" s="9">
        <v>43614</v>
      </c>
      <c r="D4215">
        <v>1</v>
      </c>
      <c r="E4215">
        <v>2170690723</v>
      </c>
      <c r="F4215" t="s">
        <v>16</v>
      </c>
      <c r="G4215" t="s">
        <v>17</v>
      </c>
      <c r="H4215" t="s">
        <v>290</v>
      </c>
      <c r="I4215" t="s">
        <v>309</v>
      </c>
      <c r="J4215" t="s">
        <v>1037</v>
      </c>
      <c r="K4215" s="9">
        <v>43615</v>
      </c>
      <c r="L4215" s="10">
        <v>0.36874999999999997</v>
      </c>
      <c r="M4215" t="s">
        <v>4821</v>
      </c>
      <c r="N4215" t="s">
        <v>4822</v>
      </c>
      <c r="O4215" t="s">
        <v>22</v>
      </c>
    </row>
    <row r="4216" spans="1:15" hidden="1">
      <c r="A4216" t="s">
        <v>15</v>
      </c>
      <c r="B4216" t="str">
        <f>"FES1162692576"</f>
        <v>FES1162692576</v>
      </c>
      <c r="C4216" s="9">
        <v>43614</v>
      </c>
      <c r="D4216">
        <v>1</v>
      </c>
      <c r="E4216">
        <v>2170690828</v>
      </c>
      <c r="F4216" t="s">
        <v>16</v>
      </c>
      <c r="G4216" t="s">
        <v>17</v>
      </c>
      <c r="H4216" t="s">
        <v>290</v>
      </c>
      <c r="I4216" t="s">
        <v>291</v>
      </c>
      <c r="J4216" t="s">
        <v>1744</v>
      </c>
      <c r="K4216" s="9">
        <v>43615</v>
      </c>
      <c r="L4216" s="10">
        <v>0.36805555555555558</v>
      </c>
      <c r="M4216" t="s">
        <v>1745</v>
      </c>
      <c r="N4216" t="s">
        <v>4823</v>
      </c>
      <c r="O4216" t="s">
        <v>22</v>
      </c>
    </row>
    <row r="4217" spans="1:15" hidden="1">
      <c r="A4217" s="6" t="s">
        <v>15</v>
      </c>
      <c r="B4217" s="6" t="str">
        <f>"FES1162692490"</f>
        <v>FES1162692490</v>
      </c>
      <c r="C4217" s="7">
        <v>43614</v>
      </c>
      <c r="D4217" s="6">
        <v>1</v>
      </c>
      <c r="E4217" s="6">
        <v>2170688495</v>
      </c>
      <c r="F4217" s="6" t="s">
        <v>16</v>
      </c>
      <c r="G4217" s="6" t="s">
        <v>17</v>
      </c>
      <c r="H4217" s="6" t="s">
        <v>300</v>
      </c>
      <c r="I4217" s="6" t="s">
        <v>301</v>
      </c>
      <c r="J4217" s="6" t="s">
        <v>506</v>
      </c>
      <c r="K4217" s="7">
        <v>43615</v>
      </c>
      <c r="L4217" s="8">
        <v>0.3430555555555555</v>
      </c>
      <c r="M4217" s="6" t="s">
        <v>507</v>
      </c>
      <c r="N4217" s="14" t="s">
        <v>21</v>
      </c>
      <c r="O4217" s="6" t="s">
        <v>22</v>
      </c>
    </row>
    <row r="4218" spans="1:15" hidden="1">
      <c r="A4218" s="6" t="s">
        <v>15</v>
      </c>
      <c r="B4218" s="6" t="str">
        <f>"FES1162692406"</f>
        <v>FES1162692406</v>
      </c>
      <c r="C4218" s="7">
        <v>43614</v>
      </c>
      <c r="D4218" s="6">
        <v>1</v>
      </c>
      <c r="E4218" s="6">
        <v>217068157</v>
      </c>
      <c r="F4218" s="6" t="s">
        <v>16</v>
      </c>
      <c r="G4218" s="6" t="s">
        <v>17</v>
      </c>
      <c r="H4218" s="6" t="s">
        <v>290</v>
      </c>
      <c r="I4218" s="6" t="s">
        <v>291</v>
      </c>
      <c r="J4218" s="6" t="s">
        <v>3670</v>
      </c>
      <c r="K4218" s="7">
        <v>43615</v>
      </c>
      <c r="L4218" s="8">
        <v>0.41111111111111115</v>
      </c>
      <c r="M4218" s="6" t="s">
        <v>4065</v>
      </c>
      <c r="N4218" s="14" t="s">
        <v>21</v>
      </c>
      <c r="O4218" s="6" t="s">
        <v>22</v>
      </c>
    </row>
    <row r="4219" spans="1:15" hidden="1">
      <c r="A4219" t="s">
        <v>15</v>
      </c>
      <c r="B4219" t="str">
        <f>"FES1162692625"</f>
        <v>FES1162692625</v>
      </c>
      <c r="C4219" s="9">
        <v>43614</v>
      </c>
      <c r="D4219">
        <v>1</v>
      </c>
      <c r="E4219">
        <v>2170690365</v>
      </c>
      <c r="F4219" t="s">
        <v>16</v>
      </c>
      <c r="G4219" t="s">
        <v>17</v>
      </c>
      <c r="H4219" t="s">
        <v>32</v>
      </c>
      <c r="I4219" t="s">
        <v>4606</v>
      </c>
      <c r="J4219" t="s">
        <v>4607</v>
      </c>
      <c r="K4219" t="s">
        <v>1730</v>
      </c>
      <c r="L4219"/>
      <c r="M4219" t="s">
        <v>1731</v>
      </c>
      <c r="N4219" t="s">
        <v>4824</v>
      </c>
      <c r="O4219" t="s">
        <v>22</v>
      </c>
    </row>
    <row r="4220" spans="1:15" hidden="1">
      <c r="A4220" s="14" t="s">
        <v>15</v>
      </c>
      <c r="B4220" s="14" t="str">
        <f>"FES1162692623"</f>
        <v>FES1162692623</v>
      </c>
      <c r="C4220" s="15">
        <v>43614</v>
      </c>
      <c r="D4220" s="14">
        <v>1</v>
      </c>
      <c r="E4220" s="14">
        <v>217069398</v>
      </c>
      <c r="F4220" s="14" t="s">
        <v>16</v>
      </c>
      <c r="G4220" s="14" t="s">
        <v>17</v>
      </c>
      <c r="H4220" s="14" t="s">
        <v>32</v>
      </c>
      <c r="I4220" s="14" t="s">
        <v>269</v>
      </c>
      <c r="J4220" s="14" t="s">
        <v>683</v>
      </c>
      <c r="K4220" s="15">
        <v>43615</v>
      </c>
      <c r="L4220" s="16">
        <v>0.3576388888888889</v>
      </c>
      <c r="M4220" s="14" t="s">
        <v>684</v>
      </c>
      <c r="N4220" s="14" t="s">
        <v>21</v>
      </c>
      <c r="O4220" s="14" t="s">
        <v>22</v>
      </c>
    </row>
    <row r="4221" spans="1:15">
      <c r="A4221" s="6" t="s">
        <v>15</v>
      </c>
      <c r="B4221" s="6" t="str">
        <f>"FES1162692622"</f>
        <v>FES1162692622</v>
      </c>
      <c r="C4221" s="7">
        <v>43614</v>
      </c>
      <c r="D4221" s="6">
        <v>1</v>
      </c>
      <c r="E4221" s="6">
        <v>2170687736</v>
      </c>
      <c r="F4221" s="6" t="s">
        <v>16</v>
      </c>
      <c r="G4221" s="6" t="s">
        <v>17</v>
      </c>
      <c r="H4221" s="6" t="s">
        <v>17</v>
      </c>
      <c r="I4221" s="6" t="s">
        <v>18</v>
      </c>
      <c r="J4221" s="6" t="s">
        <v>19</v>
      </c>
      <c r="K4221" s="7">
        <v>43615</v>
      </c>
      <c r="L4221" s="8">
        <v>0.40972222222222227</v>
      </c>
      <c r="M4221" s="6" t="s">
        <v>1327</v>
      </c>
      <c r="N4221" s="6" t="s">
        <v>21</v>
      </c>
      <c r="O4221" s="6" t="s">
        <v>22</v>
      </c>
    </row>
    <row r="4222" spans="1:15">
      <c r="A4222" s="6" t="s">
        <v>15</v>
      </c>
      <c r="B4222" s="6" t="str">
        <f>"FES1162692362"</f>
        <v>FES1162692362</v>
      </c>
      <c r="C4222" s="7">
        <v>43614</v>
      </c>
      <c r="D4222" s="6">
        <v>1</v>
      </c>
      <c r="E4222" s="6">
        <v>2170690710</v>
      </c>
      <c r="F4222" s="6" t="s">
        <v>16</v>
      </c>
      <c r="G4222" s="6" t="s">
        <v>17</v>
      </c>
      <c r="H4222" s="6" t="s">
        <v>17</v>
      </c>
      <c r="I4222" s="6" t="s">
        <v>64</v>
      </c>
      <c r="J4222" s="6" t="s">
        <v>553</v>
      </c>
      <c r="K4222" s="7">
        <v>43615</v>
      </c>
      <c r="L4222" s="8">
        <v>0.40972222222222227</v>
      </c>
      <c r="M4222" s="6" t="s">
        <v>4825</v>
      </c>
      <c r="N4222" s="6" t="s">
        <v>21</v>
      </c>
      <c r="O4222" s="6" t="s">
        <v>22</v>
      </c>
    </row>
    <row r="4223" spans="1:15" hidden="1">
      <c r="A4223" s="20" t="s">
        <v>15</v>
      </c>
      <c r="B4223" s="20" t="str">
        <f>"FES1162692348"</f>
        <v>FES1162692348</v>
      </c>
      <c r="C4223" s="21">
        <v>43614</v>
      </c>
      <c r="D4223" s="20">
        <v>1</v>
      </c>
      <c r="E4223" s="20">
        <v>2170688060</v>
      </c>
      <c r="F4223" s="20" t="s">
        <v>16</v>
      </c>
      <c r="G4223" s="20" t="s">
        <v>17</v>
      </c>
      <c r="H4223" s="20" t="s">
        <v>290</v>
      </c>
      <c r="I4223" s="20" t="s">
        <v>291</v>
      </c>
      <c r="J4223" s="20" t="s">
        <v>294</v>
      </c>
      <c r="K4223" s="21">
        <v>43615</v>
      </c>
      <c r="L4223" s="22">
        <v>0.31944444444444448</v>
      </c>
      <c r="M4223" s="20" t="s">
        <v>769</v>
      </c>
      <c r="N4223" s="20" t="s">
        <v>21</v>
      </c>
      <c r="O4223" s="20" t="s">
        <v>22</v>
      </c>
    </row>
    <row r="4224" spans="1:15">
      <c r="A4224" s="6" t="s">
        <v>15</v>
      </c>
      <c r="B4224" s="6" t="str">
        <f>"FES1162692521"</f>
        <v>FES1162692521</v>
      </c>
      <c r="C4224" s="7">
        <v>43614</v>
      </c>
      <c r="D4224" s="6">
        <v>1</v>
      </c>
      <c r="E4224" s="6">
        <v>2170688961</v>
      </c>
      <c r="F4224" s="6" t="s">
        <v>16</v>
      </c>
      <c r="G4224" s="6" t="s">
        <v>17</v>
      </c>
      <c r="H4224" s="6" t="s">
        <v>17</v>
      </c>
      <c r="I4224" s="6" t="s">
        <v>414</v>
      </c>
      <c r="J4224" s="6" t="s">
        <v>1538</v>
      </c>
      <c r="K4224" s="7">
        <v>43615</v>
      </c>
      <c r="L4224" s="8">
        <v>0.4375</v>
      </c>
      <c r="M4224" s="6" t="s">
        <v>1367</v>
      </c>
      <c r="N4224" s="6" t="s">
        <v>21</v>
      </c>
      <c r="O4224" s="6" t="s">
        <v>22</v>
      </c>
    </row>
    <row r="4225" spans="1:15" hidden="1">
      <c r="A4225" s="20" t="s">
        <v>15</v>
      </c>
      <c r="B4225" s="20" t="str">
        <f>"FES1162692395"</f>
        <v>FES1162692395</v>
      </c>
      <c r="C4225" s="21">
        <v>43614</v>
      </c>
      <c r="D4225" s="20">
        <v>1</v>
      </c>
      <c r="E4225" s="20">
        <v>2170688524</v>
      </c>
      <c r="F4225" s="20" t="s">
        <v>16</v>
      </c>
      <c r="G4225" s="20" t="s">
        <v>17</v>
      </c>
      <c r="H4225" s="20" t="s">
        <v>290</v>
      </c>
      <c r="I4225" s="20" t="s">
        <v>291</v>
      </c>
      <c r="J4225" s="20" t="s">
        <v>297</v>
      </c>
      <c r="K4225" s="21">
        <v>43615</v>
      </c>
      <c r="L4225" s="22">
        <v>0.3215277777777778</v>
      </c>
      <c r="M4225" s="20" t="s">
        <v>3772</v>
      </c>
      <c r="N4225" s="20" t="s">
        <v>21</v>
      </c>
      <c r="O4225" s="20" t="s">
        <v>22</v>
      </c>
    </row>
    <row r="4226" spans="1:15">
      <c r="A4226" s="6" t="s">
        <v>15</v>
      </c>
      <c r="B4226" s="6" t="str">
        <f>"FES1162692530"</f>
        <v>FES1162692530</v>
      </c>
      <c r="C4226" s="7">
        <v>43614</v>
      </c>
      <c r="D4226" s="6">
        <v>1</v>
      </c>
      <c r="E4226" s="6">
        <v>2170690772</v>
      </c>
      <c r="F4226" s="6" t="s">
        <v>16</v>
      </c>
      <c r="G4226" s="6" t="s">
        <v>17</v>
      </c>
      <c r="H4226" s="6" t="s">
        <v>17</v>
      </c>
      <c r="I4226" s="6" t="s">
        <v>23</v>
      </c>
      <c r="J4226" s="6" t="s">
        <v>479</v>
      </c>
      <c r="K4226" s="7">
        <v>43615</v>
      </c>
      <c r="L4226" s="8">
        <v>0.3527777777777778</v>
      </c>
      <c r="M4226" s="6" t="s">
        <v>4799</v>
      </c>
      <c r="N4226" s="6" t="s">
        <v>21</v>
      </c>
      <c r="O4226" s="6" t="s">
        <v>22</v>
      </c>
    </row>
    <row r="4227" spans="1:15">
      <c r="A4227" s="6" t="s">
        <v>15</v>
      </c>
      <c r="B4227" s="6" t="str">
        <f>"FES1162692629"</f>
        <v>FES1162692629</v>
      </c>
      <c r="C4227" s="7">
        <v>43614</v>
      </c>
      <c r="D4227" s="6">
        <v>1</v>
      </c>
      <c r="E4227" s="6">
        <v>2170690880</v>
      </c>
      <c r="F4227" s="6" t="s">
        <v>16</v>
      </c>
      <c r="G4227" s="6" t="s">
        <v>17</v>
      </c>
      <c r="H4227" s="6" t="s">
        <v>17</v>
      </c>
      <c r="I4227" s="6" t="s">
        <v>18</v>
      </c>
      <c r="J4227" s="6" t="s">
        <v>19</v>
      </c>
      <c r="K4227" s="7">
        <v>43615</v>
      </c>
      <c r="L4227" s="8">
        <v>0.35416666666666669</v>
      </c>
      <c r="M4227" s="6" t="s">
        <v>1327</v>
      </c>
      <c r="N4227" s="6" t="s">
        <v>21</v>
      </c>
      <c r="O4227" s="6" t="s">
        <v>22</v>
      </c>
    </row>
    <row r="4228" spans="1:15">
      <c r="A4228" s="6" t="s">
        <v>15</v>
      </c>
      <c r="B4228" s="6" t="str">
        <f>"FES1162692620"</f>
        <v>FES1162692620</v>
      </c>
      <c r="C4228" s="7">
        <v>43614</v>
      </c>
      <c r="D4228" s="6">
        <v>1</v>
      </c>
      <c r="E4228" s="6">
        <v>2170690875</v>
      </c>
      <c r="F4228" s="6" t="s">
        <v>16</v>
      </c>
      <c r="G4228" s="6" t="s">
        <v>17</v>
      </c>
      <c r="H4228" s="6" t="s">
        <v>17</v>
      </c>
      <c r="I4228" s="6" t="s">
        <v>18</v>
      </c>
      <c r="J4228" s="6" t="s">
        <v>19</v>
      </c>
      <c r="K4228" s="7">
        <v>43615</v>
      </c>
      <c r="L4228" s="8">
        <v>0.40972222222222227</v>
      </c>
      <c r="M4228" s="6" t="s">
        <v>1327</v>
      </c>
      <c r="N4228" s="6" t="s">
        <v>21</v>
      </c>
      <c r="O4228" s="6" t="s">
        <v>22</v>
      </c>
    </row>
    <row r="4229" spans="1:15">
      <c r="A4229" s="6" t="s">
        <v>15</v>
      </c>
      <c r="B4229" s="6" t="str">
        <f>"FES1162692632"</f>
        <v>FES1162692632</v>
      </c>
      <c r="C4229" s="7">
        <v>43614</v>
      </c>
      <c r="D4229" s="6">
        <v>1</v>
      </c>
      <c r="E4229" s="6">
        <v>2170690884</v>
      </c>
      <c r="F4229" s="6" t="s">
        <v>16</v>
      </c>
      <c r="G4229" s="6" t="s">
        <v>17</v>
      </c>
      <c r="H4229" s="6" t="s">
        <v>17</v>
      </c>
      <c r="I4229" s="6" t="s">
        <v>103</v>
      </c>
      <c r="J4229" s="6" t="s">
        <v>3037</v>
      </c>
      <c r="K4229" s="7">
        <v>43615</v>
      </c>
      <c r="L4229" s="8">
        <v>0.4284722222222222</v>
      </c>
      <c r="M4229" s="6" t="s">
        <v>100</v>
      </c>
      <c r="N4229" s="6" t="s">
        <v>21</v>
      </c>
      <c r="O4229" s="6" t="s">
        <v>22</v>
      </c>
    </row>
    <row r="4230" spans="1:15" hidden="1">
      <c r="A4230" t="s">
        <v>15</v>
      </c>
      <c r="B4230" t="str">
        <f>"FES1162692373"</f>
        <v>FES1162692373</v>
      </c>
      <c r="C4230" s="9">
        <v>43614</v>
      </c>
      <c r="D4230">
        <v>1</v>
      </c>
      <c r="E4230">
        <v>2170690725</v>
      </c>
      <c r="F4230" t="s">
        <v>16</v>
      </c>
      <c r="G4230" t="s">
        <v>17</v>
      </c>
      <c r="H4230" t="s">
        <v>141</v>
      </c>
      <c r="I4230" t="s">
        <v>142</v>
      </c>
      <c r="J4230" t="s">
        <v>198</v>
      </c>
      <c r="K4230" s="9">
        <v>43615</v>
      </c>
      <c r="L4230" s="10">
        <v>0.41666666666666669</v>
      </c>
      <c r="M4230" t="s">
        <v>4826</v>
      </c>
      <c r="N4230" t="s">
        <v>4827</v>
      </c>
      <c r="O4230" t="s">
        <v>22</v>
      </c>
    </row>
    <row r="4231" spans="1:15" hidden="1">
      <c r="A4231" t="s">
        <v>15</v>
      </c>
      <c r="B4231" t="str">
        <f>"FES1162692352"</f>
        <v>FES1162692352</v>
      </c>
      <c r="C4231" s="9">
        <v>43614</v>
      </c>
      <c r="D4231">
        <v>1</v>
      </c>
      <c r="E4231">
        <v>2170690240</v>
      </c>
      <c r="F4231" t="s">
        <v>16</v>
      </c>
      <c r="G4231" t="s">
        <v>17</v>
      </c>
      <c r="H4231" t="s">
        <v>141</v>
      </c>
      <c r="I4231" t="s">
        <v>185</v>
      </c>
      <c r="J4231" t="s">
        <v>186</v>
      </c>
      <c r="K4231" s="9">
        <v>43615</v>
      </c>
      <c r="L4231" s="10">
        <v>0.43124999999999997</v>
      </c>
      <c r="M4231" t="s">
        <v>1305</v>
      </c>
      <c r="N4231" t="s">
        <v>4828</v>
      </c>
      <c r="O4231" t="s">
        <v>22</v>
      </c>
    </row>
    <row r="4232" spans="1:15" hidden="1">
      <c r="A4232" s="6" t="s">
        <v>15</v>
      </c>
      <c r="B4232" s="6" t="str">
        <f>"FES1162692369"</f>
        <v>FES1162692369</v>
      </c>
      <c r="C4232" s="7">
        <v>43614</v>
      </c>
      <c r="D4232" s="6">
        <v>1</v>
      </c>
      <c r="E4232" s="6">
        <v>2170690721</v>
      </c>
      <c r="F4232" s="6" t="s">
        <v>16</v>
      </c>
      <c r="G4232" s="6" t="s">
        <v>17</v>
      </c>
      <c r="H4232" s="6" t="s">
        <v>132</v>
      </c>
      <c r="I4232" s="6" t="s">
        <v>133</v>
      </c>
      <c r="J4232" s="6" t="s">
        <v>247</v>
      </c>
      <c r="K4232" s="7">
        <v>43615</v>
      </c>
      <c r="L4232" s="8">
        <v>0.40347222222222223</v>
      </c>
      <c r="M4232" s="6" t="s">
        <v>4829</v>
      </c>
      <c r="N4232" s="14" t="s">
        <v>21</v>
      </c>
      <c r="O4232" s="6" t="s">
        <v>22</v>
      </c>
    </row>
    <row r="4233" spans="1:15" hidden="1">
      <c r="A4233" t="s">
        <v>15</v>
      </c>
      <c r="B4233" t="str">
        <f>"FES1162692372"</f>
        <v>FES1162692372</v>
      </c>
      <c r="C4233" s="9">
        <v>43614</v>
      </c>
      <c r="D4233">
        <v>1</v>
      </c>
      <c r="E4233">
        <v>2170690724</v>
      </c>
      <c r="F4233" t="s">
        <v>16</v>
      </c>
      <c r="G4233" t="s">
        <v>17</v>
      </c>
      <c r="H4233" t="s">
        <v>132</v>
      </c>
      <c r="I4233" t="s">
        <v>838</v>
      </c>
      <c r="J4233" t="s">
        <v>839</v>
      </c>
      <c r="K4233" s="9">
        <v>43615</v>
      </c>
      <c r="L4233" s="10">
        <v>0.51041666666666663</v>
      </c>
      <c r="M4233" t="s">
        <v>4116</v>
      </c>
      <c r="N4233" t="s">
        <v>4830</v>
      </c>
      <c r="O4233" t="s">
        <v>22</v>
      </c>
    </row>
    <row r="4234" spans="1:15" hidden="1">
      <c r="A4234" t="s">
        <v>15</v>
      </c>
      <c r="B4234" t="str">
        <f>"FES1162692641"</f>
        <v>FES1162692641</v>
      </c>
      <c r="C4234" s="9">
        <v>43614</v>
      </c>
      <c r="D4234">
        <v>1</v>
      </c>
      <c r="E4234">
        <v>2170690896</v>
      </c>
      <c r="F4234" t="s">
        <v>16</v>
      </c>
      <c r="G4234" t="s">
        <v>17</v>
      </c>
      <c r="H4234" t="s">
        <v>32</v>
      </c>
      <c r="I4234" t="s">
        <v>33</v>
      </c>
      <c r="J4234" t="s">
        <v>1832</v>
      </c>
      <c r="K4234" s="9">
        <v>43615</v>
      </c>
      <c r="L4234" s="10">
        <v>0.39930555555555558</v>
      </c>
      <c r="M4234" t="s">
        <v>4831</v>
      </c>
      <c r="N4234" t="s">
        <v>4832</v>
      </c>
      <c r="O4234" t="s">
        <v>22</v>
      </c>
    </row>
    <row r="4235" spans="1:15" hidden="1">
      <c r="A4235" t="s">
        <v>15</v>
      </c>
      <c r="B4235" t="str">
        <f>"FES1162692643"</f>
        <v>FES1162692643</v>
      </c>
      <c r="C4235" s="9">
        <v>43614</v>
      </c>
      <c r="D4235">
        <v>1</v>
      </c>
      <c r="E4235">
        <v>2170689620</v>
      </c>
      <c r="F4235" t="s">
        <v>16</v>
      </c>
      <c r="G4235" t="s">
        <v>17</v>
      </c>
      <c r="H4235" t="s">
        <v>32</v>
      </c>
      <c r="I4235" t="s">
        <v>269</v>
      </c>
      <c r="J4235" t="s">
        <v>270</v>
      </c>
      <c r="K4235" s="9">
        <v>43615</v>
      </c>
      <c r="L4235" s="10">
        <v>0.35416666666666669</v>
      </c>
      <c r="M4235" t="s">
        <v>4833</v>
      </c>
      <c r="N4235" t="s">
        <v>4834</v>
      </c>
      <c r="O4235" t="s">
        <v>22</v>
      </c>
    </row>
    <row r="4236" spans="1:15">
      <c r="A4236" s="6" t="s">
        <v>15</v>
      </c>
      <c r="B4236" s="6" t="str">
        <f>"FES1162692618"</f>
        <v>FES1162692618</v>
      </c>
      <c r="C4236" s="7">
        <v>43614</v>
      </c>
      <c r="D4236" s="6">
        <v>1</v>
      </c>
      <c r="E4236" s="6">
        <v>2170690872</v>
      </c>
      <c r="F4236" s="6" t="s">
        <v>16</v>
      </c>
      <c r="G4236" s="6" t="s">
        <v>17</v>
      </c>
      <c r="H4236" s="6" t="s">
        <v>17</v>
      </c>
      <c r="I4236" s="6" t="s">
        <v>1984</v>
      </c>
      <c r="J4236" s="6" t="s">
        <v>1985</v>
      </c>
      <c r="K4236" s="7">
        <v>43615</v>
      </c>
      <c r="L4236" s="8">
        <v>0.33333333333333331</v>
      </c>
      <c r="M4236" s="6" t="s">
        <v>1986</v>
      </c>
      <c r="N4236" s="6" t="s">
        <v>21</v>
      </c>
      <c r="O4236" s="6" t="s">
        <v>22</v>
      </c>
    </row>
    <row r="4237" spans="1:15" hidden="1">
      <c r="A4237" t="s">
        <v>15</v>
      </c>
      <c r="B4237" t="str">
        <f>"FES1162692409"</f>
        <v>FES1162692409</v>
      </c>
      <c r="C4237" s="9">
        <v>43614</v>
      </c>
      <c r="D4237">
        <v>1</v>
      </c>
      <c r="E4237">
        <v>2170687341</v>
      </c>
      <c r="F4237" t="s">
        <v>16</v>
      </c>
      <c r="G4237" t="s">
        <v>17</v>
      </c>
      <c r="H4237" t="s">
        <v>141</v>
      </c>
      <c r="I4237" t="s">
        <v>142</v>
      </c>
      <c r="J4237" t="s">
        <v>864</v>
      </c>
      <c r="K4237" s="9">
        <v>43615</v>
      </c>
      <c r="L4237" s="10">
        <v>0.41666666666666669</v>
      </c>
      <c r="M4237" t="s">
        <v>865</v>
      </c>
      <c r="N4237" t="s">
        <v>4835</v>
      </c>
      <c r="O4237" t="s">
        <v>22</v>
      </c>
    </row>
    <row r="4238" spans="1:15" hidden="1">
      <c r="A4238" t="s">
        <v>15</v>
      </c>
      <c r="B4238" t="str">
        <f>"FES1162692414"</f>
        <v>FES1162692414</v>
      </c>
      <c r="C4238" s="9">
        <v>43614</v>
      </c>
      <c r="D4238">
        <v>1</v>
      </c>
      <c r="E4238">
        <v>2170688468</v>
      </c>
      <c r="F4238" t="s">
        <v>16</v>
      </c>
      <c r="G4238" t="s">
        <v>17</v>
      </c>
      <c r="H4238" t="s">
        <v>141</v>
      </c>
      <c r="I4238" t="s">
        <v>1921</v>
      </c>
      <c r="J4238" t="s">
        <v>3698</v>
      </c>
      <c r="K4238" s="9">
        <v>43615</v>
      </c>
      <c r="L4238" s="10">
        <v>0.37222222222222223</v>
      </c>
      <c r="M4238" t="s">
        <v>4836</v>
      </c>
      <c r="N4238" t="s">
        <v>4837</v>
      </c>
      <c r="O4238" t="s">
        <v>22</v>
      </c>
    </row>
    <row r="4239" spans="1:15" hidden="1">
      <c r="A4239" t="s">
        <v>15</v>
      </c>
      <c r="B4239" t="str">
        <f>"FES1162692488"</f>
        <v>FES1162692488</v>
      </c>
      <c r="C4239" s="9">
        <v>43614</v>
      </c>
      <c r="D4239">
        <v>1</v>
      </c>
      <c r="E4239">
        <v>2170688461</v>
      </c>
      <c r="F4239" t="s">
        <v>16</v>
      </c>
      <c r="G4239" t="s">
        <v>17</v>
      </c>
      <c r="H4239" t="s">
        <v>132</v>
      </c>
      <c r="I4239" t="s">
        <v>133</v>
      </c>
      <c r="J4239" t="s">
        <v>189</v>
      </c>
      <c r="K4239" s="9">
        <v>43615</v>
      </c>
      <c r="L4239" s="10">
        <v>0.43402777777777773</v>
      </c>
      <c r="M4239" t="s">
        <v>4838</v>
      </c>
      <c r="N4239" t="s">
        <v>4839</v>
      </c>
      <c r="O4239" t="s">
        <v>22</v>
      </c>
    </row>
    <row r="4240" spans="1:15" hidden="1">
      <c r="A4240" t="s">
        <v>15</v>
      </c>
      <c r="B4240" t="str">
        <f>"FES1162692377"</f>
        <v>FES1162692377</v>
      </c>
      <c r="C4240" s="9">
        <v>43614</v>
      </c>
      <c r="D4240">
        <v>1</v>
      </c>
      <c r="E4240">
        <v>2170690738</v>
      </c>
      <c r="F4240" t="s">
        <v>16</v>
      </c>
      <c r="G4240" t="s">
        <v>17</v>
      </c>
      <c r="H4240" t="s">
        <v>141</v>
      </c>
      <c r="I4240" t="s">
        <v>142</v>
      </c>
      <c r="J4240" t="s">
        <v>627</v>
      </c>
      <c r="K4240" s="9">
        <v>43615</v>
      </c>
      <c r="L4240" s="10">
        <v>0.4145833333333333</v>
      </c>
      <c r="M4240" t="s">
        <v>3789</v>
      </c>
      <c r="N4240" t="s">
        <v>4840</v>
      </c>
      <c r="O4240" t="s">
        <v>22</v>
      </c>
    </row>
    <row r="4241" spans="1:15" hidden="1">
      <c r="A4241" t="s">
        <v>15</v>
      </c>
      <c r="B4241" t="str">
        <f>"FES1162692382"</f>
        <v>FES1162692382</v>
      </c>
      <c r="C4241" s="9">
        <v>43614</v>
      </c>
      <c r="D4241">
        <v>1</v>
      </c>
      <c r="E4241">
        <v>2170690542</v>
      </c>
      <c r="F4241" t="s">
        <v>16</v>
      </c>
      <c r="G4241" t="s">
        <v>17</v>
      </c>
      <c r="H4241" t="s">
        <v>141</v>
      </c>
      <c r="I4241" t="s">
        <v>185</v>
      </c>
      <c r="J4241" t="s">
        <v>4841</v>
      </c>
      <c r="K4241" s="9">
        <v>43615</v>
      </c>
      <c r="L4241" s="10">
        <v>0.33888888888888885</v>
      </c>
      <c r="M4241" t="s">
        <v>4842</v>
      </c>
      <c r="N4241" t="s">
        <v>4843</v>
      </c>
      <c r="O4241" t="s">
        <v>22</v>
      </c>
    </row>
    <row r="4242" spans="1:15" hidden="1">
      <c r="A4242" t="s">
        <v>15</v>
      </c>
      <c r="B4242" t="str">
        <f>"FES1162692475"</f>
        <v>FES1162692475</v>
      </c>
      <c r="C4242" s="9">
        <v>43614</v>
      </c>
      <c r="D4242">
        <v>1</v>
      </c>
      <c r="E4242">
        <v>2170688384</v>
      </c>
      <c r="F4242" t="s">
        <v>16</v>
      </c>
      <c r="G4242" t="s">
        <v>17</v>
      </c>
      <c r="H4242" t="s">
        <v>141</v>
      </c>
      <c r="I4242" t="s">
        <v>142</v>
      </c>
      <c r="J4242" t="s">
        <v>1380</v>
      </c>
      <c r="K4242" s="9">
        <v>43615</v>
      </c>
      <c r="L4242" s="10">
        <v>0.4375</v>
      </c>
      <c r="M4242" t="s">
        <v>4844</v>
      </c>
      <c r="N4242" t="s">
        <v>4845</v>
      </c>
      <c r="O4242" t="s">
        <v>22</v>
      </c>
    </row>
    <row r="4243" spans="1:15" hidden="1">
      <c r="A4243" t="s">
        <v>15</v>
      </c>
      <c r="B4243" t="str">
        <f>"FES1162692469"</f>
        <v>FES1162692469</v>
      </c>
      <c r="C4243" s="9">
        <v>43614</v>
      </c>
      <c r="D4243">
        <v>1</v>
      </c>
      <c r="E4243">
        <v>2170697821</v>
      </c>
      <c r="F4243" t="s">
        <v>16</v>
      </c>
      <c r="G4243" t="s">
        <v>17</v>
      </c>
      <c r="H4243" t="s">
        <v>141</v>
      </c>
      <c r="I4243" t="s">
        <v>142</v>
      </c>
      <c r="J4243" t="s">
        <v>864</v>
      </c>
      <c r="K4243" s="9">
        <v>43615</v>
      </c>
      <c r="L4243" s="10">
        <v>0.41666666666666669</v>
      </c>
      <c r="M4243" t="s">
        <v>865</v>
      </c>
      <c r="N4243" t="s">
        <v>4846</v>
      </c>
      <c r="O4243" t="s">
        <v>22</v>
      </c>
    </row>
    <row r="4244" spans="1:15" hidden="1">
      <c r="A4244" t="s">
        <v>15</v>
      </c>
      <c r="B4244" t="str">
        <f>"FES1162692408"</f>
        <v>FES1162692408</v>
      </c>
      <c r="C4244" s="9">
        <v>43614</v>
      </c>
      <c r="D4244">
        <v>1</v>
      </c>
      <c r="E4244">
        <v>2170687287</v>
      </c>
      <c r="F4244" t="s">
        <v>16</v>
      </c>
      <c r="G4244" t="s">
        <v>17</v>
      </c>
      <c r="H4244" t="s">
        <v>141</v>
      </c>
      <c r="I4244" t="s">
        <v>185</v>
      </c>
      <c r="J4244" t="s">
        <v>210</v>
      </c>
      <c r="K4244" s="9">
        <v>43615</v>
      </c>
      <c r="L4244" s="10">
        <v>0.39166666666666666</v>
      </c>
      <c r="M4244" t="s">
        <v>211</v>
      </c>
      <c r="N4244" t="s">
        <v>4847</v>
      </c>
      <c r="O4244" t="s">
        <v>22</v>
      </c>
    </row>
    <row r="4245" spans="1:15" hidden="1">
      <c r="A4245" t="s">
        <v>15</v>
      </c>
      <c r="B4245" t="str">
        <f>"FES1162692430"</f>
        <v>FES1162692430</v>
      </c>
      <c r="C4245" s="9">
        <v>43614</v>
      </c>
      <c r="D4245">
        <v>1</v>
      </c>
      <c r="E4245">
        <v>2170688916</v>
      </c>
      <c r="F4245" t="s">
        <v>16</v>
      </c>
      <c r="G4245" t="s">
        <v>17</v>
      </c>
      <c r="H4245" t="s">
        <v>132</v>
      </c>
      <c r="I4245" t="s">
        <v>133</v>
      </c>
      <c r="J4245" t="s">
        <v>189</v>
      </c>
      <c r="K4245" s="9">
        <v>43615</v>
      </c>
      <c r="L4245" s="10">
        <v>0.43402777777777773</v>
      </c>
      <c r="M4245" t="s">
        <v>190</v>
      </c>
      <c r="N4245" t="s">
        <v>4848</v>
      </c>
      <c r="O4245" t="s">
        <v>22</v>
      </c>
    </row>
    <row r="4246" spans="1:15" hidden="1">
      <c r="A4246" t="s">
        <v>15</v>
      </c>
      <c r="B4246" t="str">
        <f>"FES1162692633"</f>
        <v>FES1162692633</v>
      </c>
      <c r="C4246" s="9">
        <v>43614</v>
      </c>
      <c r="D4246">
        <v>1</v>
      </c>
      <c r="E4246">
        <v>2170690889</v>
      </c>
      <c r="F4246" t="s">
        <v>16</v>
      </c>
      <c r="G4246" t="s">
        <v>17</v>
      </c>
      <c r="H4246" t="s">
        <v>32</v>
      </c>
      <c r="I4246" t="s">
        <v>33</v>
      </c>
      <c r="J4246" t="s">
        <v>843</v>
      </c>
      <c r="K4246" s="9">
        <v>43615</v>
      </c>
      <c r="L4246" s="10">
        <v>0.38194444444444442</v>
      </c>
      <c r="M4246" t="s">
        <v>4849</v>
      </c>
      <c r="N4246" t="s">
        <v>4850</v>
      </c>
      <c r="O4246" t="s">
        <v>22</v>
      </c>
    </row>
    <row r="4247" spans="1:15" hidden="1">
      <c r="A4247" t="s">
        <v>15</v>
      </c>
      <c r="B4247" t="str">
        <f>"FES1162692422"</f>
        <v>FES1162692422</v>
      </c>
      <c r="C4247" s="9">
        <v>43614</v>
      </c>
      <c r="D4247">
        <v>1</v>
      </c>
      <c r="E4247">
        <v>217068817</v>
      </c>
      <c r="F4247" t="s">
        <v>16</v>
      </c>
      <c r="G4247" t="s">
        <v>17</v>
      </c>
      <c r="H4247" t="s">
        <v>141</v>
      </c>
      <c r="I4247" t="s">
        <v>448</v>
      </c>
      <c r="J4247" t="s">
        <v>449</v>
      </c>
      <c r="K4247" s="9">
        <v>43615</v>
      </c>
      <c r="L4247" s="10">
        <v>0.42083333333333334</v>
      </c>
      <c r="M4247" t="s">
        <v>4505</v>
      </c>
      <c r="N4247" t="s">
        <v>4851</v>
      </c>
      <c r="O4247" t="s">
        <v>22</v>
      </c>
    </row>
    <row r="4248" spans="1:15" hidden="1">
      <c r="A4248" t="s">
        <v>15</v>
      </c>
      <c r="B4248" t="str">
        <f>"FES1162692436"</f>
        <v>FES1162692436</v>
      </c>
      <c r="C4248" s="9">
        <v>43614</v>
      </c>
      <c r="D4248">
        <v>1</v>
      </c>
      <c r="E4248">
        <v>2170689032</v>
      </c>
      <c r="F4248" t="s">
        <v>16</v>
      </c>
      <c r="G4248" t="s">
        <v>17</v>
      </c>
      <c r="H4248" t="s">
        <v>141</v>
      </c>
      <c r="I4248" t="s">
        <v>142</v>
      </c>
      <c r="J4248" t="s">
        <v>1610</v>
      </c>
      <c r="K4248" s="9">
        <v>43615</v>
      </c>
      <c r="L4248" s="10">
        <v>0.4152777777777778</v>
      </c>
      <c r="M4248" t="s">
        <v>1611</v>
      </c>
      <c r="N4248" t="s">
        <v>4852</v>
      </c>
      <c r="O4248" t="s">
        <v>22</v>
      </c>
    </row>
    <row r="4249" spans="1:15" hidden="1">
      <c r="A4249" t="s">
        <v>15</v>
      </c>
      <c r="B4249" t="str">
        <f>"FES1162692557"</f>
        <v>FES1162692557</v>
      </c>
      <c r="C4249" s="9">
        <v>43614</v>
      </c>
      <c r="D4249">
        <v>1</v>
      </c>
      <c r="E4249">
        <v>217090802</v>
      </c>
      <c r="F4249" t="s">
        <v>16</v>
      </c>
      <c r="G4249" t="s">
        <v>17</v>
      </c>
      <c r="H4249" t="s">
        <v>141</v>
      </c>
      <c r="I4249" t="s">
        <v>142</v>
      </c>
      <c r="J4249" t="s">
        <v>627</v>
      </c>
      <c r="K4249" t="s">
        <v>1730</v>
      </c>
      <c r="L4249"/>
      <c r="M4249" t="s">
        <v>1731</v>
      </c>
      <c r="N4249" t="s">
        <v>4853</v>
      </c>
      <c r="O4249" t="s">
        <v>22</v>
      </c>
    </row>
    <row r="4250" spans="1:15" hidden="1">
      <c r="A4250" t="s">
        <v>15</v>
      </c>
      <c r="B4250" t="str">
        <f>"FES1162692410"</f>
        <v>FES1162692410</v>
      </c>
      <c r="C4250" s="9">
        <v>43614</v>
      </c>
      <c r="D4250">
        <v>1</v>
      </c>
      <c r="E4250">
        <v>2170687411</v>
      </c>
      <c r="F4250" t="s">
        <v>16</v>
      </c>
      <c r="G4250" t="s">
        <v>17</v>
      </c>
      <c r="H4250" t="s">
        <v>141</v>
      </c>
      <c r="I4250" t="s">
        <v>142</v>
      </c>
      <c r="J4250" t="s">
        <v>143</v>
      </c>
      <c r="K4250" s="9">
        <v>43615</v>
      </c>
      <c r="L4250" s="10">
        <v>0.4375</v>
      </c>
      <c r="M4250" t="s">
        <v>903</v>
      </c>
      <c r="N4250" t="s">
        <v>4854</v>
      </c>
      <c r="O4250" t="s">
        <v>22</v>
      </c>
    </row>
    <row r="4251" spans="1:15" hidden="1">
      <c r="A4251" s="6" t="s">
        <v>15</v>
      </c>
      <c r="B4251" s="6" t="str">
        <f>"FES1162692349"</f>
        <v>FES1162692349</v>
      </c>
      <c r="C4251" s="7">
        <v>43614</v>
      </c>
      <c r="D4251" s="6">
        <v>1</v>
      </c>
      <c r="E4251" s="6">
        <v>2170689135</v>
      </c>
      <c r="F4251" s="6" t="s">
        <v>16</v>
      </c>
      <c r="G4251" s="6" t="s">
        <v>17</v>
      </c>
      <c r="H4251" s="6" t="s">
        <v>141</v>
      </c>
      <c r="I4251" s="6" t="s">
        <v>185</v>
      </c>
      <c r="J4251" s="6" t="s">
        <v>4281</v>
      </c>
      <c r="K4251" s="7">
        <v>43615</v>
      </c>
      <c r="L4251" s="8">
        <v>0.34791666666666665</v>
      </c>
      <c r="M4251" s="6" t="s">
        <v>4855</v>
      </c>
      <c r="N4251" s="14" t="s">
        <v>21</v>
      </c>
      <c r="O4251" s="6" t="s">
        <v>22</v>
      </c>
    </row>
    <row r="4252" spans="1:15" hidden="1">
      <c r="A4252" s="6" t="s">
        <v>15</v>
      </c>
      <c r="B4252" s="6" t="str">
        <f>"FES1162692448"</f>
        <v>FES1162692448</v>
      </c>
      <c r="C4252" s="7">
        <v>43614</v>
      </c>
      <c r="D4252" s="6">
        <v>1</v>
      </c>
      <c r="E4252" s="6">
        <v>2170689542</v>
      </c>
      <c r="F4252" s="6" t="s">
        <v>16</v>
      </c>
      <c r="G4252" s="6" t="s">
        <v>17</v>
      </c>
      <c r="H4252" s="6" t="s">
        <v>132</v>
      </c>
      <c r="I4252" s="6" t="s">
        <v>133</v>
      </c>
      <c r="J4252" s="6" t="s">
        <v>594</v>
      </c>
      <c r="K4252" s="7">
        <v>43615</v>
      </c>
      <c r="L4252" s="8">
        <v>0.36805555555555558</v>
      </c>
      <c r="M4252" s="6" t="s">
        <v>2544</v>
      </c>
      <c r="N4252" s="14" t="s">
        <v>21</v>
      </c>
      <c r="O4252" s="6" t="s">
        <v>22</v>
      </c>
    </row>
    <row r="4253" spans="1:15" hidden="1">
      <c r="A4253" s="6" t="s">
        <v>15</v>
      </c>
      <c r="B4253" s="6" t="str">
        <f>"FES1162692378"</f>
        <v>FES1162692378</v>
      </c>
      <c r="C4253" s="7">
        <v>43614</v>
      </c>
      <c r="D4253" s="6">
        <v>1</v>
      </c>
      <c r="E4253" s="6">
        <v>2170690739</v>
      </c>
      <c r="F4253" s="6" t="s">
        <v>16</v>
      </c>
      <c r="G4253" s="6" t="s">
        <v>17</v>
      </c>
      <c r="H4253" s="6" t="s">
        <v>141</v>
      </c>
      <c r="I4253" s="6" t="s">
        <v>142</v>
      </c>
      <c r="J4253" s="6" t="s">
        <v>1605</v>
      </c>
      <c r="K4253" s="7">
        <v>43615</v>
      </c>
      <c r="L4253" s="8">
        <v>0.41666666666666669</v>
      </c>
      <c r="M4253" s="6" t="s">
        <v>3821</v>
      </c>
      <c r="N4253" s="14" t="s">
        <v>21</v>
      </c>
      <c r="O4253" s="6" t="s">
        <v>22</v>
      </c>
    </row>
    <row r="4254" spans="1:15" hidden="1">
      <c r="A4254" t="s">
        <v>15</v>
      </c>
      <c r="B4254" t="str">
        <f>"FES1162692602"</f>
        <v>FES1162692602</v>
      </c>
      <c r="C4254" s="9">
        <v>43614</v>
      </c>
      <c r="D4254">
        <v>1</v>
      </c>
      <c r="E4254">
        <v>2170690854</v>
      </c>
      <c r="F4254" t="s">
        <v>58</v>
      </c>
      <c r="G4254" t="s">
        <v>59</v>
      </c>
      <c r="H4254" t="s">
        <v>59</v>
      </c>
      <c r="I4254" t="s">
        <v>148</v>
      </c>
      <c r="J4254" t="s">
        <v>164</v>
      </c>
      <c r="K4254" s="9">
        <v>43615</v>
      </c>
      <c r="L4254" s="10">
        <v>0.70277777777777783</v>
      </c>
      <c r="M4254" t="s">
        <v>3404</v>
      </c>
      <c r="N4254" t="s">
        <v>4856</v>
      </c>
      <c r="O4254" t="s">
        <v>22</v>
      </c>
    </row>
    <row r="4255" spans="1:15">
      <c r="A4255" s="6" t="s">
        <v>15</v>
      </c>
      <c r="B4255" s="6" t="str">
        <f>"FES1162692423"</f>
        <v>FES1162692423</v>
      </c>
      <c r="C4255" s="7">
        <v>43614</v>
      </c>
      <c r="D4255" s="6">
        <v>1</v>
      </c>
      <c r="E4255" s="6">
        <v>2170688824</v>
      </c>
      <c r="F4255" s="6" t="s">
        <v>16</v>
      </c>
      <c r="G4255" s="6" t="s">
        <v>17</v>
      </c>
      <c r="H4255" s="6" t="s">
        <v>17</v>
      </c>
      <c r="I4255" s="6" t="s">
        <v>29</v>
      </c>
      <c r="J4255" s="6" t="s">
        <v>1080</v>
      </c>
      <c r="K4255" s="7">
        <v>43615</v>
      </c>
      <c r="L4255" s="8">
        <v>0.62222222222222223</v>
      </c>
      <c r="M4255" s="6" t="s">
        <v>4783</v>
      </c>
      <c r="N4255" s="6" t="s">
        <v>21</v>
      </c>
      <c r="O4255" s="6" t="s">
        <v>22</v>
      </c>
    </row>
    <row r="4256" spans="1:15">
      <c r="A4256" s="6" t="s">
        <v>15</v>
      </c>
      <c r="B4256" s="6" t="str">
        <f>"FES1162692609"</f>
        <v>FES1162692609</v>
      </c>
      <c r="C4256" s="7">
        <v>43614</v>
      </c>
      <c r="D4256" s="6">
        <v>1</v>
      </c>
      <c r="E4256" s="6">
        <v>2170689911</v>
      </c>
      <c r="F4256" s="6" t="s">
        <v>16</v>
      </c>
      <c r="G4256" s="6" t="s">
        <v>17</v>
      </c>
      <c r="H4256" s="6" t="s">
        <v>17</v>
      </c>
      <c r="I4256" s="6" t="s">
        <v>67</v>
      </c>
      <c r="J4256" s="6" t="s">
        <v>1621</v>
      </c>
      <c r="K4256" s="7">
        <v>43615</v>
      </c>
      <c r="L4256" s="8">
        <v>0.3430555555555555</v>
      </c>
      <c r="M4256" s="6" t="s">
        <v>1622</v>
      </c>
      <c r="N4256" s="6" t="s">
        <v>21</v>
      </c>
      <c r="O4256" s="6" t="s">
        <v>22</v>
      </c>
    </row>
    <row r="4257" spans="1:15">
      <c r="A4257" s="6" t="s">
        <v>15</v>
      </c>
      <c r="B4257" s="6" t="str">
        <f>"FES1162692584"</f>
        <v>FES1162692584</v>
      </c>
      <c r="C4257" s="7">
        <v>43614</v>
      </c>
      <c r="D4257" s="6">
        <v>1</v>
      </c>
      <c r="E4257" s="6">
        <v>2170690838</v>
      </c>
      <c r="F4257" s="6" t="s">
        <v>16</v>
      </c>
      <c r="G4257" s="6" t="s">
        <v>17</v>
      </c>
      <c r="H4257" s="6" t="s">
        <v>17</v>
      </c>
      <c r="I4257" s="6" t="s">
        <v>23</v>
      </c>
      <c r="J4257" s="6" t="s">
        <v>146</v>
      </c>
      <c r="K4257" s="7">
        <v>43615</v>
      </c>
      <c r="L4257" s="8">
        <v>0.33888888888888885</v>
      </c>
      <c r="M4257" s="6" t="s">
        <v>2834</v>
      </c>
      <c r="N4257" s="6" t="s">
        <v>21</v>
      </c>
      <c r="O4257" s="6" t="s">
        <v>22</v>
      </c>
    </row>
    <row r="4258" spans="1:15" hidden="1">
      <c r="A4258" t="s">
        <v>15</v>
      </c>
      <c r="B4258" t="str">
        <f>"FES1162692471"</f>
        <v>FES1162692471</v>
      </c>
      <c r="C4258" s="9">
        <v>43614</v>
      </c>
      <c r="D4258">
        <v>1</v>
      </c>
      <c r="E4258">
        <v>2170688079</v>
      </c>
      <c r="F4258" t="s">
        <v>16</v>
      </c>
      <c r="G4258" t="s">
        <v>17</v>
      </c>
      <c r="H4258" t="s">
        <v>132</v>
      </c>
      <c r="I4258" t="s">
        <v>133</v>
      </c>
      <c r="J4258" t="s">
        <v>639</v>
      </c>
      <c r="K4258" s="9">
        <v>43615</v>
      </c>
      <c r="L4258" s="10">
        <v>0.33333333333333331</v>
      </c>
      <c r="M4258" t="s">
        <v>2544</v>
      </c>
      <c r="N4258" t="s">
        <v>4857</v>
      </c>
      <c r="O4258" t="s">
        <v>22</v>
      </c>
    </row>
    <row r="4259" spans="1:15" hidden="1">
      <c r="A4259" t="s">
        <v>15</v>
      </c>
      <c r="B4259" t="str">
        <f>"FES1162692553"</f>
        <v>FES1162692553</v>
      </c>
      <c r="C4259" s="9">
        <v>43614</v>
      </c>
      <c r="D4259">
        <v>1</v>
      </c>
      <c r="E4259">
        <v>2170690797</v>
      </c>
      <c r="F4259" t="s">
        <v>16</v>
      </c>
      <c r="G4259" t="s">
        <v>17</v>
      </c>
      <c r="H4259" t="s">
        <v>1420</v>
      </c>
      <c r="I4259" t="s">
        <v>1421</v>
      </c>
      <c r="J4259" t="s">
        <v>1422</v>
      </c>
      <c r="K4259" s="9">
        <v>43615</v>
      </c>
      <c r="L4259" s="10">
        <v>0.42638888888888887</v>
      </c>
      <c r="M4259" t="s">
        <v>4858</v>
      </c>
      <c r="N4259" t="s">
        <v>4859</v>
      </c>
      <c r="O4259" t="s">
        <v>22</v>
      </c>
    </row>
    <row r="4260" spans="1:15" hidden="1">
      <c r="A4260" t="s">
        <v>15</v>
      </c>
      <c r="B4260" t="str">
        <f>"FES1162692561"</f>
        <v>FES1162692561</v>
      </c>
      <c r="C4260" s="9">
        <v>43614</v>
      </c>
      <c r="D4260">
        <v>1</v>
      </c>
      <c r="E4260">
        <v>217068808</v>
      </c>
      <c r="F4260" t="s">
        <v>16</v>
      </c>
      <c r="G4260" t="s">
        <v>17</v>
      </c>
      <c r="H4260" t="s">
        <v>141</v>
      </c>
      <c r="I4260" t="s">
        <v>142</v>
      </c>
      <c r="J4260" t="s">
        <v>213</v>
      </c>
      <c r="K4260" s="9">
        <v>43615</v>
      </c>
      <c r="L4260" s="10">
        <v>0.39027777777777778</v>
      </c>
      <c r="M4260" t="s">
        <v>214</v>
      </c>
      <c r="N4260" t="s">
        <v>4860</v>
      </c>
      <c r="O4260" t="s">
        <v>22</v>
      </c>
    </row>
    <row r="4261" spans="1:15" hidden="1">
      <c r="A4261" t="s">
        <v>15</v>
      </c>
      <c r="B4261" t="str">
        <f>"FES1162692658"</f>
        <v>FES1162692658</v>
      </c>
      <c r="C4261" s="9">
        <v>43614</v>
      </c>
      <c r="D4261">
        <v>1</v>
      </c>
      <c r="E4261">
        <v>2170690911</v>
      </c>
      <c r="F4261" t="s">
        <v>16</v>
      </c>
      <c r="G4261" t="s">
        <v>17</v>
      </c>
      <c r="H4261" t="s">
        <v>43</v>
      </c>
      <c r="I4261" t="s">
        <v>44</v>
      </c>
      <c r="J4261" t="s">
        <v>207</v>
      </c>
      <c r="K4261" t="s">
        <v>1730</v>
      </c>
      <c r="L4261"/>
      <c r="M4261" t="s">
        <v>1731</v>
      </c>
      <c r="N4261" t="s">
        <v>4861</v>
      </c>
      <c r="O4261" t="s">
        <v>22</v>
      </c>
    </row>
    <row r="4262" spans="1:15" hidden="1">
      <c r="A4262" t="s">
        <v>15</v>
      </c>
      <c r="B4262" t="str">
        <f>"FES1162692465"</f>
        <v>FES1162692465</v>
      </c>
      <c r="C4262" s="9">
        <v>43614</v>
      </c>
      <c r="D4262">
        <v>1</v>
      </c>
      <c r="E4262">
        <v>2170685746</v>
      </c>
      <c r="F4262" t="s">
        <v>16</v>
      </c>
      <c r="G4262" t="s">
        <v>17</v>
      </c>
      <c r="H4262" t="s">
        <v>141</v>
      </c>
      <c r="I4262" t="s">
        <v>142</v>
      </c>
      <c r="J4262" t="s">
        <v>228</v>
      </c>
      <c r="K4262" s="9">
        <v>43615</v>
      </c>
      <c r="L4262" s="10">
        <v>0.4375</v>
      </c>
      <c r="M4262" t="s">
        <v>4325</v>
      </c>
      <c r="N4262" t="s">
        <v>4862</v>
      </c>
      <c r="O4262" t="s">
        <v>22</v>
      </c>
    </row>
    <row r="4263" spans="1:15" hidden="1">
      <c r="A4263" t="s">
        <v>15</v>
      </c>
      <c r="B4263" t="str">
        <f>"FES1162692505"</f>
        <v>FES1162692505</v>
      </c>
      <c r="C4263" s="9">
        <v>43614</v>
      </c>
      <c r="D4263">
        <v>1</v>
      </c>
      <c r="E4263">
        <v>2170688666</v>
      </c>
      <c r="F4263" t="s">
        <v>16</v>
      </c>
      <c r="G4263" t="s">
        <v>17</v>
      </c>
      <c r="H4263" t="s">
        <v>141</v>
      </c>
      <c r="I4263" t="s">
        <v>185</v>
      </c>
      <c r="J4263" t="s">
        <v>1543</v>
      </c>
      <c r="K4263" s="9">
        <v>43615</v>
      </c>
      <c r="L4263" s="10">
        <v>0.42430555555555555</v>
      </c>
      <c r="M4263" t="s">
        <v>4863</v>
      </c>
      <c r="N4263" t="s">
        <v>4864</v>
      </c>
      <c r="O4263" t="s">
        <v>22</v>
      </c>
    </row>
    <row r="4264" spans="1:15" hidden="1">
      <c r="A4264" t="s">
        <v>15</v>
      </c>
      <c r="B4264" t="str">
        <f>"FES1162692510"</f>
        <v>FES1162692510</v>
      </c>
      <c r="C4264" s="9">
        <v>43614</v>
      </c>
      <c r="D4264">
        <v>1</v>
      </c>
      <c r="E4264">
        <v>2170688775</v>
      </c>
      <c r="F4264" t="s">
        <v>16</v>
      </c>
      <c r="G4264" t="s">
        <v>17</v>
      </c>
      <c r="H4264" t="s">
        <v>141</v>
      </c>
      <c r="I4264" t="s">
        <v>1451</v>
      </c>
      <c r="J4264" t="s">
        <v>1452</v>
      </c>
      <c r="K4264" s="9">
        <v>43615</v>
      </c>
      <c r="L4264" s="10">
        <v>0.37222222222222223</v>
      </c>
      <c r="M4264" t="s">
        <v>2960</v>
      </c>
      <c r="N4264" t="s">
        <v>4865</v>
      </c>
      <c r="O4264" t="s">
        <v>22</v>
      </c>
    </row>
    <row r="4265" spans="1:15" hidden="1">
      <c r="A4265" t="s">
        <v>15</v>
      </c>
      <c r="B4265" t="str">
        <f>"FES1162692564"</f>
        <v>FES1162692564</v>
      </c>
      <c r="C4265" s="9">
        <v>43614</v>
      </c>
      <c r="D4265">
        <v>1</v>
      </c>
      <c r="E4265">
        <v>2170690811</v>
      </c>
      <c r="F4265" t="s">
        <v>16</v>
      </c>
      <c r="G4265" t="s">
        <v>17</v>
      </c>
      <c r="H4265" t="s">
        <v>141</v>
      </c>
      <c r="I4265" t="s">
        <v>142</v>
      </c>
      <c r="J4265" t="s">
        <v>2528</v>
      </c>
      <c r="K4265" s="9">
        <v>43615</v>
      </c>
      <c r="L4265" s="10">
        <v>0.41250000000000003</v>
      </c>
      <c r="M4265" t="s">
        <v>4866</v>
      </c>
      <c r="N4265" t="s">
        <v>4867</v>
      </c>
      <c r="O4265" t="s">
        <v>22</v>
      </c>
    </row>
    <row r="4266" spans="1:15" hidden="1">
      <c r="A4266" t="s">
        <v>15</v>
      </c>
      <c r="B4266" t="str">
        <f>"FES1162692458"</f>
        <v>FES1162692458</v>
      </c>
      <c r="C4266" s="9">
        <v>43614</v>
      </c>
      <c r="D4266">
        <v>1</v>
      </c>
      <c r="E4266">
        <v>2170690768</v>
      </c>
      <c r="F4266" t="s">
        <v>16</v>
      </c>
      <c r="G4266" t="s">
        <v>17</v>
      </c>
      <c r="H4266" t="s">
        <v>141</v>
      </c>
      <c r="I4266" t="s">
        <v>185</v>
      </c>
      <c r="J4266" t="s">
        <v>452</v>
      </c>
      <c r="K4266" s="9">
        <v>43615</v>
      </c>
      <c r="L4266" s="10">
        <v>0.43055555555555558</v>
      </c>
      <c r="M4266" t="s">
        <v>4868</v>
      </c>
      <c r="N4266" t="s">
        <v>4869</v>
      </c>
      <c r="O4266" t="s">
        <v>22</v>
      </c>
    </row>
    <row r="4267" spans="1:15" hidden="1">
      <c r="A4267" t="s">
        <v>15</v>
      </c>
      <c r="B4267" t="str">
        <f>"FES1162692627"</f>
        <v>FES1162692627</v>
      </c>
      <c r="C4267" s="9">
        <v>43614</v>
      </c>
      <c r="D4267">
        <v>1</v>
      </c>
      <c r="E4267">
        <v>2170690457</v>
      </c>
      <c r="F4267" t="s">
        <v>16</v>
      </c>
      <c r="G4267" t="s">
        <v>17</v>
      </c>
      <c r="H4267" t="s">
        <v>43</v>
      </c>
      <c r="I4267" t="s">
        <v>75</v>
      </c>
      <c r="J4267" t="s">
        <v>222</v>
      </c>
      <c r="K4267" s="9">
        <v>43615</v>
      </c>
      <c r="L4267" s="10">
        <v>0.46180555555555558</v>
      </c>
      <c r="M4267" t="s">
        <v>88</v>
      </c>
      <c r="N4267" t="s">
        <v>4870</v>
      </c>
      <c r="O4267" t="s">
        <v>22</v>
      </c>
    </row>
    <row r="4268" spans="1:15" hidden="1">
      <c r="A4268" t="s">
        <v>15</v>
      </c>
      <c r="B4268" t="str">
        <f>"FES1162692646"</f>
        <v>FES1162692646</v>
      </c>
      <c r="C4268" s="9">
        <v>43614</v>
      </c>
      <c r="D4268">
        <v>1</v>
      </c>
      <c r="E4268">
        <v>2170690900</v>
      </c>
      <c r="F4268" t="s">
        <v>16</v>
      </c>
      <c r="G4268" t="s">
        <v>17</v>
      </c>
      <c r="H4268" t="s">
        <v>37</v>
      </c>
      <c r="I4268" t="s">
        <v>38</v>
      </c>
      <c r="J4268" t="s">
        <v>559</v>
      </c>
      <c r="K4268" s="9">
        <v>43615</v>
      </c>
      <c r="L4268" s="10">
        <v>0.41666666666666669</v>
      </c>
      <c r="M4268" t="s">
        <v>4871</v>
      </c>
      <c r="N4268" t="s">
        <v>4872</v>
      </c>
      <c r="O4268" t="s">
        <v>22</v>
      </c>
    </row>
    <row r="4269" spans="1:15" hidden="1">
      <c r="A4269" t="s">
        <v>15</v>
      </c>
      <c r="B4269" t="str">
        <f>"FES1162692644"</f>
        <v>FES1162692644</v>
      </c>
      <c r="C4269" s="9">
        <v>43614</v>
      </c>
      <c r="D4269">
        <v>1</v>
      </c>
      <c r="E4269">
        <v>2170690816</v>
      </c>
      <c r="F4269" t="s">
        <v>16</v>
      </c>
      <c r="G4269" t="s">
        <v>17</v>
      </c>
      <c r="H4269" t="s">
        <v>43</v>
      </c>
      <c r="I4269" t="s">
        <v>44</v>
      </c>
      <c r="J4269" t="s">
        <v>45</v>
      </c>
      <c r="K4269" s="9">
        <v>43615</v>
      </c>
      <c r="L4269" s="10">
        <v>0.3298611111111111</v>
      </c>
      <c r="M4269" t="s">
        <v>3873</v>
      </c>
      <c r="N4269" t="s">
        <v>4873</v>
      </c>
      <c r="O4269" t="s">
        <v>22</v>
      </c>
    </row>
    <row r="4270" spans="1:15" hidden="1">
      <c r="A4270" t="s">
        <v>15</v>
      </c>
      <c r="B4270" t="str">
        <f>"FES1162692397"</f>
        <v>FES1162692397</v>
      </c>
      <c r="C4270" s="9">
        <v>43614</v>
      </c>
      <c r="D4270">
        <v>1</v>
      </c>
      <c r="E4270">
        <v>2170690754</v>
      </c>
      <c r="F4270" t="s">
        <v>16</v>
      </c>
      <c r="G4270" t="s">
        <v>17</v>
      </c>
      <c r="H4270" t="s">
        <v>290</v>
      </c>
      <c r="I4270" t="s">
        <v>291</v>
      </c>
      <c r="J4270" t="s">
        <v>1535</v>
      </c>
      <c r="K4270" s="9">
        <v>43615</v>
      </c>
      <c r="L4270" s="10">
        <v>0.29652777777777778</v>
      </c>
      <c r="M4270" t="s">
        <v>481</v>
      </c>
      <c r="N4270" t="s">
        <v>4874</v>
      </c>
      <c r="O4270" t="s">
        <v>22</v>
      </c>
    </row>
    <row r="4271" spans="1:15" hidden="1">
      <c r="A4271" t="s">
        <v>15</v>
      </c>
      <c r="B4271" t="str">
        <f>"FES1162692443"</f>
        <v>FES1162692443</v>
      </c>
      <c r="C4271" s="9">
        <v>43614</v>
      </c>
      <c r="D4271">
        <v>1</v>
      </c>
      <c r="E4271">
        <v>2170690712</v>
      </c>
      <c r="F4271" t="s">
        <v>16</v>
      </c>
      <c r="G4271" t="s">
        <v>17</v>
      </c>
      <c r="H4271" t="s">
        <v>290</v>
      </c>
      <c r="I4271" t="s">
        <v>601</v>
      </c>
      <c r="J4271" t="s">
        <v>602</v>
      </c>
      <c r="K4271" s="9">
        <v>43615</v>
      </c>
      <c r="L4271" s="10">
        <v>0.50694444444444442</v>
      </c>
      <c r="M4271" t="s">
        <v>77</v>
      </c>
      <c r="N4271" t="s">
        <v>4875</v>
      </c>
      <c r="O4271" t="s">
        <v>22</v>
      </c>
    </row>
    <row r="4272" spans="1:15" hidden="1">
      <c r="A4272" t="s">
        <v>15</v>
      </c>
      <c r="B4272" t="str">
        <f>"FES1162692361"</f>
        <v>FES1162692361</v>
      </c>
      <c r="C4272" s="9">
        <v>43614</v>
      </c>
      <c r="D4272">
        <v>1</v>
      </c>
      <c r="E4272">
        <v>2170690709</v>
      </c>
      <c r="F4272" t="s">
        <v>16</v>
      </c>
      <c r="G4272" t="s">
        <v>17</v>
      </c>
      <c r="H4272" t="s">
        <v>290</v>
      </c>
      <c r="I4272" t="s">
        <v>291</v>
      </c>
      <c r="J4272" t="s">
        <v>609</v>
      </c>
      <c r="K4272" s="9">
        <v>43615</v>
      </c>
      <c r="L4272" s="10">
        <v>0.40625</v>
      </c>
      <c r="M4272" t="s">
        <v>4085</v>
      </c>
      <c r="N4272" t="s">
        <v>4876</v>
      </c>
      <c r="O4272" t="s">
        <v>22</v>
      </c>
    </row>
    <row r="4273" spans="1:15" hidden="1">
      <c r="A4273" t="s">
        <v>15</v>
      </c>
      <c r="B4273" t="str">
        <f>"FES1162692364"</f>
        <v>FES1162692364</v>
      </c>
      <c r="C4273" s="9">
        <v>43614</v>
      </c>
      <c r="D4273">
        <v>1</v>
      </c>
      <c r="E4273">
        <v>2170690715</v>
      </c>
      <c r="F4273" t="s">
        <v>16</v>
      </c>
      <c r="G4273" t="s">
        <v>17</v>
      </c>
      <c r="H4273" t="s">
        <v>290</v>
      </c>
      <c r="I4273" t="s">
        <v>309</v>
      </c>
      <c r="J4273" t="s">
        <v>676</v>
      </c>
      <c r="K4273" s="9">
        <v>43615</v>
      </c>
      <c r="L4273" s="10">
        <v>0.3833333333333333</v>
      </c>
      <c r="M4273" t="s">
        <v>4877</v>
      </c>
      <c r="N4273" t="s">
        <v>4878</v>
      </c>
      <c r="O4273" t="s">
        <v>22</v>
      </c>
    </row>
    <row r="4274" spans="1:15" hidden="1">
      <c r="A4274" t="s">
        <v>15</v>
      </c>
      <c r="B4274" t="str">
        <f>"FES1162692487"</f>
        <v>FES1162692487</v>
      </c>
      <c r="C4274" s="9">
        <v>43614</v>
      </c>
      <c r="D4274">
        <v>1</v>
      </c>
      <c r="E4274">
        <v>2170688458</v>
      </c>
      <c r="F4274" t="s">
        <v>16</v>
      </c>
      <c r="G4274" t="s">
        <v>17</v>
      </c>
      <c r="H4274" t="s">
        <v>290</v>
      </c>
      <c r="I4274" t="s">
        <v>291</v>
      </c>
      <c r="J4274" t="s">
        <v>294</v>
      </c>
      <c r="K4274" s="9">
        <v>43615</v>
      </c>
      <c r="L4274" s="10">
        <v>0.31944444444444448</v>
      </c>
      <c r="M4274" t="s">
        <v>769</v>
      </c>
      <c r="N4274" t="s">
        <v>4879</v>
      </c>
      <c r="O4274" t="s">
        <v>22</v>
      </c>
    </row>
    <row r="4275" spans="1:15" hidden="1">
      <c r="A4275" s="6" t="s">
        <v>15</v>
      </c>
      <c r="B4275" s="6" t="str">
        <f>"FES1162692433"</f>
        <v>FES1162692433</v>
      </c>
      <c r="C4275" s="7">
        <v>43614</v>
      </c>
      <c r="D4275" s="6">
        <v>1</v>
      </c>
      <c r="E4275" s="6">
        <v>2170688958</v>
      </c>
      <c r="F4275" s="6" t="s">
        <v>16</v>
      </c>
      <c r="G4275" s="6" t="s">
        <v>17</v>
      </c>
      <c r="H4275" s="6" t="s">
        <v>290</v>
      </c>
      <c r="I4275" s="6" t="s">
        <v>316</v>
      </c>
      <c r="J4275" s="6" t="s">
        <v>3486</v>
      </c>
      <c r="K4275" s="7">
        <v>43615</v>
      </c>
      <c r="L4275" s="8">
        <v>0.48888888888888887</v>
      </c>
      <c r="M4275" s="6" t="s">
        <v>4880</v>
      </c>
      <c r="N4275" s="14" t="s">
        <v>21</v>
      </c>
      <c r="O4275" s="6" t="s">
        <v>22</v>
      </c>
    </row>
    <row r="4276" spans="1:15" hidden="1">
      <c r="A4276" s="6" t="s">
        <v>15</v>
      </c>
      <c r="B4276" s="6" t="str">
        <f>"FES1162692347"</f>
        <v>FES1162692347</v>
      </c>
      <c r="C4276" s="7">
        <v>43614</v>
      </c>
      <c r="D4276" s="6">
        <v>1</v>
      </c>
      <c r="E4276" s="6">
        <v>2170688057</v>
      </c>
      <c r="F4276" s="6" t="s">
        <v>16</v>
      </c>
      <c r="G4276" s="6" t="s">
        <v>17</v>
      </c>
      <c r="H4276" s="6" t="s">
        <v>290</v>
      </c>
      <c r="I4276" s="6" t="s">
        <v>291</v>
      </c>
      <c r="J4276" s="6" t="s">
        <v>294</v>
      </c>
      <c r="K4276" s="7">
        <v>43615</v>
      </c>
      <c r="L4276" s="8">
        <v>0.31944444444444448</v>
      </c>
      <c r="M4276" s="6" t="s">
        <v>769</v>
      </c>
      <c r="N4276" s="14" t="s">
        <v>21</v>
      </c>
      <c r="O4276" s="6" t="s">
        <v>22</v>
      </c>
    </row>
    <row r="4277" spans="1:15" hidden="1">
      <c r="A4277" s="6" t="s">
        <v>15</v>
      </c>
      <c r="B4277" s="6" t="str">
        <f>"FES1162692588"</f>
        <v>FES1162692588</v>
      </c>
      <c r="C4277" s="7">
        <v>43614</v>
      </c>
      <c r="D4277" s="6">
        <v>1</v>
      </c>
      <c r="E4277" s="6">
        <v>21706987171</v>
      </c>
      <c r="F4277" s="6" t="s">
        <v>16</v>
      </c>
      <c r="G4277" s="6" t="s">
        <v>17</v>
      </c>
      <c r="H4277" s="6" t="s">
        <v>290</v>
      </c>
      <c r="I4277" s="6" t="s">
        <v>291</v>
      </c>
      <c r="J4277" s="6" t="s">
        <v>297</v>
      </c>
      <c r="K4277" s="7">
        <v>43615</v>
      </c>
      <c r="L4277" s="8">
        <v>0.32083333333333336</v>
      </c>
      <c r="M4277" s="6" t="s">
        <v>3772</v>
      </c>
      <c r="N4277" s="14" t="s">
        <v>21</v>
      </c>
      <c r="O4277" s="6" t="s">
        <v>22</v>
      </c>
    </row>
    <row r="4278" spans="1:15" hidden="1">
      <c r="A4278" t="s">
        <v>15</v>
      </c>
      <c r="B4278" t="str">
        <f>"FES1162692650"</f>
        <v>FES1162692650</v>
      </c>
      <c r="C4278" s="9">
        <v>43614</v>
      </c>
      <c r="D4278">
        <v>1</v>
      </c>
      <c r="E4278">
        <v>2170690665</v>
      </c>
      <c r="F4278" t="s">
        <v>16</v>
      </c>
      <c r="G4278" t="s">
        <v>17</v>
      </c>
      <c r="H4278" t="s">
        <v>32</v>
      </c>
      <c r="I4278" t="s">
        <v>33</v>
      </c>
      <c r="J4278" t="s">
        <v>34</v>
      </c>
      <c r="K4278" s="9">
        <v>43615</v>
      </c>
      <c r="L4278" s="10">
        <v>0.33333333333333331</v>
      </c>
      <c r="M4278" t="s">
        <v>35</v>
      </c>
      <c r="N4278" t="s">
        <v>4881</v>
      </c>
      <c r="O4278" t="s">
        <v>22</v>
      </c>
    </row>
    <row r="4279" spans="1:15">
      <c r="A4279" s="6" t="s">
        <v>15</v>
      </c>
      <c r="B4279" s="6" t="str">
        <f>"FES1162692642"</f>
        <v>FES1162692642</v>
      </c>
      <c r="C4279" s="7">
        <v>43614</v>
      </c>
      <c r="D4279" s="6">
        <v>1</v>
      </c>
      <c r="E4279" s="6">
        <v>2170690091</v>
      </c>
      <c r="F4279" s="6" t="s">
        <v>16</v>
      </c>
      <c r="G4279" s="6" t="s">
        <v>17</v>
      </c>
      <c r="H4279" s="6" t="s">
        <v>17</v>
      </c>
      <c r="I4279" s="6" t="s">
        <v>64</v>
      </c>
      <c r="J4279" s="6" t="s">
        <v>116</v>
      </c>
      <c r="K4279" s="7">
        <v>43615</v>
      </c>
      <c r="L4279" s="8">
        <v>0.33611111111111108</v>
      </c>
      <c r="M4279" s="6" t="s">
        <v>2594</v>
      </c>
      <c r="N4279" s="6" t="s">
        <v>21</v>
      </c>
      <c r="O4279" s="6" t="s">
        <v>22</v>
      </c>
    </row>
    <row r="4280" spans="1:15">
      <c r="A4280" s="6" t="s">
        <v>15</v>
      </c>
      <c r="B4280" s="6" t="str">
        <f>"FES1162692645"</f>
        <v>FES1162692645</v>
      </c>
      <c r="C4280" s="7">
        <v>43614</v>
      </c>
      <c r="D4280" s="6">
        <v>1</v>
      </c>
      <c r="E4280" s="6">
        <v>2170690903</v>
      </c>
      <c r="F4280" s="6" t="s">
        <v>16</v>
      </c>
      <c r="G4280" s="6" t="s">
        <v>17</v>
      </c>
      <c r="H4280" s="6" t="s">
        <v>17</v>
      </c>
      <c r="I4280" s="6" t="s">
        <v>701</v>
      </c>
      <c r="J4280" s="6" t="s">
        <v>1379</v>
      </c>
      <c r="K4280" s="7">
        <v>43615</v>
      </c>
      <c r="L4280" s="8">
        <v>0.34236111111111112</v>
      </c>
      <c r="M4280" s="6" t="s">
        <v>579</v>
      </c>
      <c r="N4280" s="6" t="s">
        <v>21</v>
      </c>
      <c r="O4280" s="6" t="s">
        <v>22</v>
      </c>
    </row>
    <row r="4281" spans="1:15">
      <c r="A4281" s="6" t="s">
        <v>15</v>
      </c>
      <c r="B4281" s="6" t="str">
        <f>"FES1162692652"</f>
        <v>FES1162692652</v>
      </c>
      <c r="C4281" s="7">
        <v>43614</v>
      </c>
      <c r="D4281" s="6">
        <v>1</v>
      </c>
      <c r="E4281" s="6">
        <v>2170690905</v>
      </c>
      <c r="F4281" s="6" t="s">
        <v>16</v>
      </c>
      <c r="G4281" s="6" t="s">
        <v>17</v>
      </c>
      <c r="H4281" s="6" t="s">
        <v>17</v>
      </c>
      <c r="I4281" s="6" t="s">
        <v>18</v>
      </c>
      <c r="J4281" s="6" t="s">
        <v>4882</v>
      </c>
      <c r="K4281" s="7">
        <v>43615</v>
      </c>
      <c r="L4281" s="8">
        <v>0.47847222222222219</v>
      </c>
      <c r="M4281" s="6" t="s">
        <v>4883</v>
      </c>
      <c r="N4281" s="6" t="s">
        <v>21</v>
      </c>
      <c r="O4281" s="6" t="s">
        <v>22</v>
      </c>
    </row>
    <row r="4282" spans="1:15" hidden="1">
      <c r="A4282" t="s">
        <v>15</v>
      </c>
      <c r="B4282" t="str">
        <f>"FES1162692399"</f>
        <v>FES1162692399</v>
      </c>
      <c r="C4282" s="9">
        <v>43614</v>
      </c>
      <c r="D4282">
        <v>1</v>
      </c>
      <c r="E4282">
        <v>2170690757</v>
      </c>
      <c r="F4282" t="s">
        <v>16</v>
      </c>
      <c r="G4282" t="s">
        <v>17</v>
      </c>
      <c r="H4282" t="s">
        <v>290</v>
      </c>
      <c r="I4282" t="s">
        <v>291</v>
      </c>
      <c r="J4282" t="s">
        <v>1030</v>
      </c>
      <c r="K4282" s="9">
        <v>43615</v>
      </c>
      <c r="L4282" s="10">
        <v>0.375</v>
      </c>
      <c r="M4282" t="s">
        <v>3722</v>
      </c>
      <c r="N4282" t="s">
        <v>4884</v>
      </c>
      <c r="O4282" t="s">
        <v>22</v>
      </c>
    </row>
    <row r="4283" spans="1:15" hidden="1">
      <c r="A4283" t="s">
        <v>15</v>
      </c>
      <c r="B4283" t="str">
        <f>"FES1162692647"</f>
        <v>FES1162692647</v>
      </c>
      <c r="C4283" s="9">
        <v>43614</v>
      </c>
      <c r="D4283">
        <v>2</v>
      </c>
      <c r="E4283">
        <v>2170685904</v>
      </c>
      <c r="F4283" t="s">
        <v>58</v>
      </c>
      <c r="G4283" t="s">
        <v>59</v>
      </c>
      <c r="H4283" t="s">
        <v>32</v>
      </c>
      <c r="I4283" t="s">
        <v>33</v>
      </c>
      <c r="J4283" t="s">
        <v>34</v>
      </c>
      <c r="K4283" t="s">
        <v>1730</v>
      </c>
      <c r="L4283"/>
      <c r="M4283" t="s">
        <v>1731</v>
      </c>
      <c r="N4283" t="s">
        <v>4885</v>
      </c>
      <c r="O4283" t="s">
        <v>22</v>
      </c>
    </row>
    <row r="4284" spans="1:15">
      <c r="A4284" s="6" t="s">
        <v>15</v>
      </c>
      <c r="B4284" s="6" t="str">
        <f>"FES1162692531"</f>
        <v>FES1162692531</v>
      </c>
      <c r="C4284" s="7">
        <v>43614</v>
      </c>
      <c r="D4284" s="6">
        <v>1</v>
      </c>
      <c r="E4284" s="6">
        <v>2170690773</v>
      </c>
      <c r="F4284" s="6" t="s">
        <v>16</v>
      </c>
      <c r="G4284" s="6" t="s">
        <v>17</v>
      </c>
      <c r="H4284" s="6" t="s">
        <v>17</v>
      </c>
      <c r="I4284" s="6" t="s">
        <v>23</v>
      </c>
      <c r="J4284" s="6" t="s">
        <v>479</v>
      </c>
      <c r="K4284" s="7">
        <v>43615</v>
      </c>
      <c r="L4284" s="8">
        <v>0.3527777777777778</v>
      </c>
      <c r="M4284" s="6" t="s">
        <v>4799</v>
      </c>
      <c r="N4284" s="6" t="s">
        <v>21</v>
      </c>
      <c r="O4284" s="6" t="s">
        <v>22</v>
      </c>
    </row>
    <row r="4285" spans="1:15" hidden="1">
      <c r="A4285" t="s">
        <v>15</v>
      </c>
      <c r="B4285" t="str">
        <f>"FES1162692582"</f>
        <v>FES1162692582</v>
      </c>
      <c r="C4285" s="9">
        <v>43614</v>
      </c>
      <c r="D4285">
        <v>1</v>
      </c>
      <c r="E4285">
        <v>2170690835</v>
      </c>
      <c r="F4285" t="s">
        <v>16</v>
      </c>
      <c r="G4285" t="s">
        <v>17</v>
      </c>
      <c r="H4285" t="s">
        <v>141</v>
      </c>
      <c r="I4285" t="s">
        <v>142</v>
      </c>
      <c r="J4285" t="s">
        <v>880</v>
      </c>
      <c r="K4285" s="9">
        <v>43615</v>
      </c>
      <c r="L4285" s="10">
        <v>0.36319444444444443</v>
      </c>
      <c r="M4285" t="s">
        <v>4886</v>
      </c>
      <c r="N4285" t="s">
        <v>4887</v>
      </c>
      <c r="O4285" t="s">
        <v>22</v>
      </c>
    </row>
    <row r="4286" spans="1:15" hidden="1">
      <c r="A4286" t="s">
        <v>15</v>
      </c>
      <c r="B4286" t="str">
        <f>"FES1162692630"</f>
        <v>FES1162692630</v>
      </c>
      <c r="C4286" s="9">
        <v>43614</v>
      </c>
      <c r="D4286">
        <v>1</v>
      </c>
      <c r="E4286">
        <v>2170690881</v>
      </c>
      <c r="F4286" t="s">
        <v>16</v>
      </c>
      <c r="G4286" t="s">
        <v>17</v>
      </c>
      <c r="H4286" t="s">
        <v>141</v>
      </c>
      <c r="I4286" t="s">
        <v>448</v>
      </c>
      <c r="J4286" t="s">
        <v>4888</v>
      </c>
      <c r="K4286" s="9">
        <v>43615</v>
      </c>
      <c r="L4286" s="10">
        <v>0.42708333333333331</v>
      </c>
      <c r="M4286" t="s">
        <v>4889</v>
      </c>
      <c r="N4286" t="s">
        <v>4890</v>
      </c>
      <c r="O4286" t="s">
        <v>22</v>
      </c>
    </row>
    <row r="4287" spans="1:15" hidden="1">
      <c r="A4287" t="s">
        <v>15</v>
      </c>
      <c r="B4287" t="str">
        <f>"FES1162692596"</f>
        <v>FES1162692596</v>
      </c>
      <c r="C4287" s="9">
        <v>43614</v>
      </c>
      <c r="D4287">
        <v>1</v>
      </c>
      <c r="E4287">
        <v>2170690851</v>
      </c>
      <c r="F4287" t="s">
        <v>16</v>
      </c>
      <c r="G4287" t="s">
        <v>17</v>
      </c>
      <c r="H4287" t="s">
        <v>141</v>
      </c>
      <c r="I4287" t="s">
        <v>142</v>
      </c>
      <c r="J4287" t="s">
        <v>864</v>
      </c>
      <c r="K4287" s="9">
        <v>43615</v>
      </c>
      <c r="L4287" s="10">
        <v>0.41666666666666669</v>
      </c>
      <c r="M4287" t="s">
        <v>865</v>
      </c>
      <c r="N4287" t="s">
        <v>4891</v>
      </c>
      <c r="O4287" t="s">
        <v>22</v>
      </c>
    </row>
    <row r="4288" spans="1:15" hidden="1">
      <c r="A4288" t="s">
        <v>15</v>
      </c>
      <c r="B4288" t="str">
        <f>"FES1162692575"</f>
        <v>FES1162692575</v>
      </c>
      <c r="C4288" s="9">
        <v>43614</v>
      </c>
      <c r="D4288">
        <v>1</v>
      </c>
      <c r="E4288">
        <v>217068027</v>
      </c>
      <c r="F4288" t="s">
        <v>16</v>
      </c>
      <c r="G4288" t="s">
        <v>17</v>
      </c>
      <c r="H4288" t="s">
        <v>132</v>
      </c>
      <c r="I4288" t="s">
        <v>133</v>
      </c>
      <c r="J4288" t="s">
        <v>639</v>
      </c>
      <c r="K4288" s="9">
        <v>43615</v>
      </c>
      <c r="L4288" s="10">
        <v>0.36805555555555558</v>
      </c>
      <c r="M4288" t="s">
        <v>2544</v>
      </c>
      <c r="N4288" t="s">
        <v>4892</v>
      </c>
      <c r="O4288" t="s">
        <v>22</v>
      </c>
    </row>
    <row r="4289" spans="1:15" hidden="1">
      <c r="A4289" s="6" t="s">
        <v>15</v>
      </c>
      <c r="B4289" s="6" t="str">
        <f>"FES1162692610"</f>
        <v>FES1162692610</v>
      </c>
      <c r="C4289" s="7">
        <v>43614</v>
      </c>
      <c r="D4289" s="6">
        <v>1</v>
      </c>
      <c r="E4289" s="6">
        <v>2170680866</v>
      </c>
      <c r="F4289" s="6" t="s">
        <v>16</v>
      </c>
      <c r="G4289" s="6" t="s">
        <v>17</v>
      </c>
      <c r="H4289" s="6" t="s">
        <v>132</v>
      </c>
      <c r="I4289" s="6" t="s">
        <v>133</v>
      </c>
      <c r="J4289" s="6" t="s">
        <v>437</v>
      </c>
      <c r="K4289" s="7">
        <v>43615</v>
      </c>
      <c r="L4289" s="8">
        <v>0.41875000000000001</v>
      </c>
      <c r="M4289" s="6" t="s">
        <v>4893</v>
      </c>
      <c r="N4289" s="14" t="s">
        <v>21</v>
      </c>
      <c r="O4289" s="6" t="s">
        <v>22</v>
      </c>
    </row>
    <row r="4290" spans="1:15" hidden="1">
      <c r="A4290" t="s">
        <v>15</v>
      </c>
      <c r="B4290" t="str">
        <f>"FES1162692581"</f>
        <v>FES1162692581</v>
      </c>
      <c r="C4290" s="9">
        <v>43614</v>
      </c>
      <c r="D4290">
        <v>1</v>
      </c>
      <c r="E4290">
        <v>2170690834</v>
      </c>
      <c r="F4290" t="s">
        <v>16</v>
      </c>
      <c r="G4290" t="s">
        <v>17</v>
      </c>
      <c r="H4290" t="s">
        <v>132</v>
      </c>
      <c r="I4290" t="s">
        <v>133</v>
      </c>
      <c r="J4290" t="s">
        <v>3274</v>
      </c>
      <c r="K4290" s="9">
        <v>43615</v>
      </c>
      <c r="L4290" s="10">
        <v>0.42708333333333331</v>
      </c>
      <c r="M4290" t="s">
        <v>3275</v>
      </c>
      <c r="N4290" t="s">
        <v>4894</v>
      </c>
      <c r="O4290" t="s">
        <v>22</v>
      </c>
    </row>
    <row r="4291" spans="1:15" hidden="1">
      <c r="A4291" s="6" t="s">
        <v>15</v>
      </c>
      <c r="B4291" s="6" t="str">
        <f>"FES1162692626"</f>
        <v>FES1162692626</v>
      </c>
      <c r="C4291" s="7">
        <v>43614</v>
      </c>
      <c r="D4291" s="6">
        <v>1</v>
      </c>
      <c r="E4291" s="6">
        <v>2170690453</v>
      </c>
      <c r="F4291" s="6" t="s">
        <v>16</v>
      </c>
      <c r="G4291" s="6" t="s">
        <v>17</v>
      </c>
      <c r="H4291" s="6" t="s">
        <v>141</v>
      </c>
      <c r="I4291" s="6" t="s">
        <v>1921</v>
      </c>
      <c r="J4291" s="6" t="s">
        <v>3698</v>
      </c>
      <c r="K4291" s="7">
        <v>43615</v>
      </c>
      <c r="L4291" s="8">
        <v>0.37222222222222223</v>
      </c>
      <c r="M4291" s="6" t="s">
        <v>4836</v>
      </c>
      <c r="N4291" s="14" t="s">
        <v>21</v>
      </c>
      <c r="O4291" s="6" t="s">
        <v>22</v>
      </c>
    </row>
    <row r="4292" spans="1:15" hidden="1">
      <c r="A4292" s="14" t="s">
        <v>15</v>
      </c>
      <c r="B4292" s="14" t="str">
        <f>"FES1162692567"</f>
        <v>FES1162692567</v>
      </c>
      <c r="C4292" s="15">
        <v>43614</v>
      </c>
      <c r="D4292" s="14">
        <v>1</v>
      </c>
      <c r="E4292" s="14">
        <v>2170690815</v>
      </c>
      <c r="F4292" s="14" t="s">
        <v>16</v>
      </c>
      <c r="G4292" s="14" t="s">
        <v>17</v>
      </c>
      <c r="H4292" s="14" t="s">
        <v>290</v>
      </c>
      <c r="I4292" s="14" t="s">
        <v>309</v>
      </c>
      <c r="J4292" s="14" t="s">
        <v>1301</v>
      </c>
      <c r="K4292" s="15">
        <v>43615</v>
      </c>
      <c r="L4292" s="16">
        <v>0.46527777777777773</v>
      </c>
      <c r="M4292" s="14" t="s">
        <v>4895</v>
      </c>
      <c r="N4292" s="14" t="s">
        <v>21</v>
      </c>
      <c r="O4292" s="14" t="s">
        <v>22</v>
      </c>
    </row>
    <row r="4293" spans="1:15">
      <c r="A4293" s="6" t="s">
        <v>15</v>
      </c>
      <c r="B4293" s="6" t="str">
        <f>"FES1162692637"</f>
        <v>FES1162692637</v>
      </c>
      <c r="C4293" s="7">
        <v>43614</v>
      </c>
      <c r="D4293" s="6">
        <v>1</v>
      </c>
      <c r="E4293" s="6">
        <v>21706890888</v>
      </c>
      <c r="F4293" s="6" t="s">
        <v>16</v>
      </c>
      <c r="G4293" s="6" t="s">
        <v>17</v>
      </c>
      <c r="H4293" s="6" t="s">
        <v>17</v>
      </c>
      <c r="I4293" s="6" t="s">
        <v>64</v>
      </c>
      <c r="J4293" s="6" t="s">
        <v>116</v>
      </c>
      <c r="K4293" s="7">
        <v>43615</v>
      </c>
      <c r="L4293" s="8">
        <v>0.33611111111111108</v>
      </c>
      <c r="M4293" s="6" t="s">
        <v>2594</v>
      </c>
      <c r="N4293" s="6" t="s">
        <v>21</v>
      </c>
      <c r="O4293" s="6" t="s">
        <v>22</v>
      </c>
    </row>
    <row r="4294" spans="1:15" hidden="1">
      <c r="A4294" t="s">
        <v>15</v>
      </c>
      <c r="B4294" t="str">
        <f>"FES1162692656"</f>
        <v>FES1162692656</v>
      </c>
      <c r="C4294" s="9">
        <v>43614</v>
      </c>
      <c r="D4294">
        <v>1</v>
      </c>
      <c r="E4294">
        <v>2170690909</v>
      </c>
      <c r="F4294" t="s">
        <v>16</v>
      </c>
      <c r="G4294" t="s">
        <v>17</v>
      </c>
      <c r="H4294" t="s">
        <v>290</v>
      </c>
      <c r="I4294" t="s">
        <v>291</v>
      </c>
      <c r="J4294" t="s">
        <v>297</v>
      </c>
      <c r="K4294" s="9">
        <v>43615</v>
      </c>
      <c r="L4294" s="10">
        <v>0.32083333333333336</v>
      </c>
      <c r="M4294" t="s">
        <v>3772</v>
      </c>
      <c r="N4294" t="s">
        <v>4896</v>
      </c>
      <c r="O4294" t="s">
        <v>22</v>
      </c>
    </row>
    <row r="4295" spans="1:15">
      <c r="A4295" s="6" t="s">
        <v>15</v>
      </c>
      <c r="B4295" s="6" t="str">
        <f>"FES1162692638"</f>
        <v>FES1162692638</v>
      </c>
      <c r="C4295" s="7">
        <v>43614</v>
      </c>
      <c r="D4295" s="6">
        <v>1</v>
      </c>
      <c r="E4295" s="6">
        <v>21706893</v>
      </c>
      <c r="F4295" s="6" t="s">
        <v>16</v>
      </c>
      <c r="G4295" s="6" t="s">
        <v>17</v>
      </c>
      <c r="H4295" s="6" t="s">
        <v>17</v>
      </c>
      <c r="I4295" s="6" t="s">
        <v>23</v>
      </c>
      <c r="J4295" s="6" t="s">
        <v>479</v>
      </c>
      <c r="K4295" s="7">
        <v>43615</v>
      </c>
      <c r="L4295" s="8">
        <v>0.3527777777777778</v>
      </c>
      <c r="M4295" s="6" t="s">
        <v>4799</v>
      </c>
      <c r="N4295" s="6" t="s">
        <v>21</v>
      </c>
      <c r="O4295" s="6" t="s">
        <v>22</v>
      </c>
    </row>
    <row r="4296" spans="1:15">
      <c r="A4296" s="6" t="s">
        <v>15</v>
      </c>
      <c r="B4296" s="6" t="str">
        <f>"FES1162692662"</f>
        <v>FES1162692662</v>
      </c>
      <c r="C4296" s="7">
        <v>43614</v>
      </c>
      <c r="D4296" s="6">
        <v>1</v>
      </c>
      <c r="E4296" s="6">
        <v>2170686811</v>
      </c>
      <c r="F4296" s="6" t="s">
        <v>16</v>
      </c>
      <c r="G4296" s="6" t="s">
        <v>17</v>
      </c>
      <c r="H4296" s="6" t="s">
        <v>17</v>
      </c>
      <c r="I4296" s="6" t="s">
        <v>23</v>
      </c>
      <c r="J4296" s="6" t="s">
        <v>106</v>
      </c>
      <c r="K4296" s="7">
        <v>43615</v>
      </c>
      <c r="L4296" s="8">
        <v>0.33333333333333331</v>
      </c>
      <c r="M4296" s="6" t="s">
        <v>100</v>
      </c>
      <c r="N4296" s="6" t="s">
        <v>21</v>
      </c>
      <c r="O4296" s="6" t="s">
        <v>22</v>
      </c>
    </row>
    <row r="4297" spans="1:15" ht="15.75" thickBot="1">
      <c r="A4297" s="11" t="s">
        <v>15</v>
      </c>
      <c r="B4297" s="11" t="str">
        <f>"FES1162692661"</f>
        <v>FES1162692661</v>
      </c>
      <c r="C4297" s="12">
        <v>43614</v>
      </c>
      <c r="D4297" s="11">
        <v>1</v>
      </c>
      <c r="E4297" s="11">
        <v>2170686814</v>
      </c>
      <c r="F4297" s="11" t="s">
        <v>16</v>
      </c>
      <c r="G4297" s="11" t="s">
        <v>17</v>
      </c>
      <c r="H4297" s="11" t="s">
        <v>17</v>
      </c>
      <c r="I4297" s="11" t="s">
        <v>23</v>
      </c>
      <c r="J4297" s="11" t="s">
        <v>106</v>
      </c>
      <c r="K4297" s="12">
        <v>43615</v>
      </c>
      <c r="L4297" s="13">
        <v>0.33333333333333331</v>
      </c>
      <c r="M4297" s="11" t="s">
        <v>100</v>
      </c>
      <c r="N4297" s="11" t="s">
        <v>21</v>
      </c>
      <c r="O4297" s="11" t="s">
        <v>22</v>
      </c>
    </row>
    <row r="4298" spans="1:15" hidden="1">
      <c r="A4298" t="s">
        <v>15</v>
      </c>
      <c r="B4298" t="str">
        <f>"FES1162692577"</f>
        <v>FES1162692577</v>
      </c>
      <c r="C4298" s="9">
        <v>43614</v>
      </c>
      <c r="D4298">
        <v>1</v>
      </c>
      <c r="E4298">
        <v>2170690829</v>
      </c>
      <c r="F4298" t="s">
        <v>16</v>
      </c>
      <c r="G4298" t="s">
        <v>17</v>
      </c>
      <c r="H4298" t="s">
        <v>132</v>
      </c>
      <c r="I4298" t="s">
        <v>838</v>
      </c>
      <c r="J4298" t="s">
        <v>839</v>
      </c>
      <c r="K4298" s="9">
        <v>43615</v>
      </c>
      <c r="L4298" s="10">
        <v>0.51041666666666663</v>
      </c>
      <c r="M4298" t="s">
        <v>4116</v>
      </c>
      <c r="N4298" t="s">
        <v>4897</v>
      </c>
      <c r="O4298" t="s">
        <v>22</v>
      </c>
    </row>
    <row r="4299" spans="1:15" hidden="1">
      <c r="A4299" s="6" t="s">
        <v>15</v>
      </c>
      <c r="B4299" s="6" t="str">
        <f>"FES1162692375"</f>
        <v>FES1162692375</v>
      </c>
      <c r="C4299" s="7">
        <v>43614</v>
      </c>
      <c r="D4299" s="6">
        <v>1</v>
      </c>
      <c r="E4299" s="6">
        <v>2170690729</v>
      </c>
      <c r="F4299" s="6" t="s">
        <v>16</v>
      </c>
      <c r="G4299" s="6" t="s">
        <v>17</v>
      </c>
      <c r="H4299" s="6" t="s">
        <v>290</v>
      </c>
      <c r="I4299" s="6" t="s">
        <v>291</v>
      </c>
      <c r="J4299" s="6" t="s">
        <v>1030</v>
      </c>
      <c r="K4299" s="7">
        <v>43615</v>
      </c>
      <c r="L4299" s="8">
        <v>0.375</v>
      </c>
      <c r="M4299" s="6" t="s">
        <v>3722</v>
      </c>
      <c r="N4299" s="14" t="s">
        <v>21</v>
      </c>
      <c r="O4299" s="6" t="s">
        <v>22</v>
      </c>
    </row>
    <row r="4300" spans="1:15" hidden="1">
      <c r="A4300" s="6" t="s">
        <v>15</v>
      </c>
      <c r="B4300" s="6" t="str">
        <f>"FES1162692498"</f>
        <v>FES1162692498</v>
      </c>
      <c r="C4300" s="7">
        <v>43614</v>
      </c>
      <c r="D4300" s="6">
        <v>1</v>
      </c>
      <c r="E4300" s="6">
        <v>2170688600</v>
      </c>
      <c r="F4300" s="6" t="s">
        <v>16</v>
      </c>
      <c r="G4300" s="6" t="s">
        <v>17</v>
      </c>
      <c r="H4300" s="6" t="s">
        <v>300</v>
      </c>
      <c r="I4300" s="6" t="s">
        <v>301</v>
      </c>
      <c r="J4300" s="6" t="s">
        <v>506</v>
      </c>
      <c r="K4300" s="7">
        <v>43615</v>
      </c>
      <c r="L4300" s="8">
        <v>0.34791666666666665</v>
      </c>
      <c r="M4300" s="6" t="s">
        <v>507</v>
      </c>
      <c r="N4300" s="14" t="s">
        <v>21</v>
      </c>
      <c r="O4300" s="6" t="s">
        <v>22</v>
      </c>
    </row>
    <row r="4301" spans="1:15" hidden="1">
      <c r="A4301" s="6" t="s">
        <v>15</v>
      </c>
      <c r="B4301" s="6" t="str">
        <f>"FES1162692502"</f>
        <v>FES1162692502</v>
      </c>
      <c r="C4301" s="7">
        <v>43614</v>
      </c>
      <c r="D4301" s="6">
        <v>1</v>
      </c>
      <c r="E4301" s="6">
        <v>2170688618</v>
      </c>
      <c r="F4301" s="6" t="s">
        <v>16</v>
      </c>
      <c r="G4301" s="6" t="s">
        <v>17</v>
      </c>
      <c r="H4301" s="6" t="s">
        <v>290</v>
      </c>
      <c r="I4301" s="6" t="s">
        <v>291</v>
      </c>
      <c r="J4301" s="6" t="s">
        <v>1744</v>
      </c>
      <c r="K4301" s="7">
        <v>43615</v>
      </c>
      <c r="L4301" s="8">
        <v>0.36805555555555558</v>
      </c>
      <c r="M4301" s="6" t="s">
        <v>1745</v>
      </c>
      <c r="N4301" s="14" t="s">
        <v>21</v>
      </c>
      <c r="O4301" s="6" t="s">
        <v>22</v>
      </c>
    </row>
    <row r="4302" spans="1:15" ht="15.75" hidden="1" thickBot="1">
      <c r="A4302" s="11" t="s">
        <v>15</v>
      </c>
      <c r="B4302" s="11" t="str">
        <f>"009938359553"</f>
        <v>009938359553</v>
      </c>
      <c r="C4302" s="12">
        <v>43614</v>
      </c>
      <c r="D4302" s="11">
        <v>1</v>
      </c>
      <c r="E4302" s="11" t="s">
        <v>1064</v>
      </c>
      <c r="F4302" s="11" t="s">
        <v>58</v>
      </c>
      <c r="G4302" s="11" t="s">
        <v>59</v>
      </c>
      <c r="H4302" s="11" t="s">
        <v>59</v>
      </c>
      <c r="I4302" s="11" t="s">
        <v>64</v>
      </c>
      <c r="J4302" s="11" t="s">
        <v>1061</v>
      </c>
      <c r="K4302" s="12">
        <v>43615</v>
      </c>
      <c r="L4302" s="13">
        <v>0.38958333333333334</v>
      </c>
      <c r="M4302" s="11" t="s">
        <v>2037</v>
      </c>
      <c r="N4302" s="11" t="s">
        <v>21</v>
      </c>
      <c r="O4302" s="11" t="s">
        <v>22</v>
      </c>
    </row>
    <row r="4303" spans="1:15" hidden="1">
      <c r="A4303" s="3" t="s">
        <v>15</v>
      </c>
      <c r="B4303" s="3" t="str">
        <f>"019911311349"</f>
        <v>019911311349</v>
      </c>
      <c r="C4303" s="4">
        <v>43616</v>
      </c>
      <c r="D4303" s="3">
        <v>1</v>
      </c>
      <c r="E4303" s="3">
        <v>1703</v>
      </c>
      <c r="F4303" s="3" t="s">
        <v>58</v>
      </c>
      <c r="G4303" s="3" t="s">
        <v>43</v>
      </c>
      <c r="H4303" s="3" t="s">
        <v>59</v>
      </c>
      <c r="I4303" s="3" t="s">
        <v>64</v>
      </c>
      <c r="J4303" s="3" t="s">
        <v>1062</v>
      </c>
      <c r="K4303" s="3" t="s">
        <v>1730</v>
      </c>
      <c r="L4303" s="3"/>
      <c r="M4303" s="3" t="s">
        <v>1731</v>
      </c>
      <c r="N4303" s="3" t="s">
        <v>4898</v>
      </c>
      <c r="O4303" s="3" t="s">
        <v>22</v>
      </c>
    </row>
    <row r="4304" spans="1:15">
      <c r="A4304" s="6" t="s">
        <v>15</v>
      </c>
      <c r="B4304" s="6" t="str">
        <f>"009935791887"</f>
        <v>009935791887</v>
      </c>
      <c r="C4304" s="7">
        <v>43616</v>
      </c>
      <c r="D4304" s="6">
        <v>1</v>
      </c>
      <c r="E4304" s="6" t="s">
        <v>4899</v>
      </c>
      <c r="F4304" s="6" t="s">
        <v>16</v>
      </c>
      <c r="G4304" s="6" t="s">
        <v>17</v>
      </c>
      <c r="H4304" s="6" t="s">
        <v>17</v>
      </c>
      <c r="I4304" s="6" t="s">
        <v>4900</v>
      </c>
      <c r="J4304" s="6" t="s">
        <v>4901</v>
      </c>
      <c r="K4304" s="6" t="s">
        <v>1730</v>
      </c>
      <c r="L4304" s="6"/>
      <c r="M4304" s="6" t="s">
        <v>1731</v>
      </c>
      <c r="N4304" s="6" t="s">
        <v>4898</v>
      </c>
      <c r="O4304" s="6" t="s">
        <v>22</v>
      </c>
    </row>
    <row r="4305" spans="1:15" hidden="1">
      <c r="A4305" s="6" t="s">
        <v>15</v>
      </c>
      <c r="B4305" s="6" t="str">
        <f>"FES1162692889"</f>
        <v>FES1162692889</v>
      </c>
      <c r="C4305" s="7">
        <v>43616</v>
      </c>
      <c r="D4305" s="6">
        <v>1</v>
      </c>
      <c r="E4305" s="6">
        <v>2170691146</v>
      </c>
      <c r="F4305" s="6" t="s">
        <v>16</v>
      </c>
      <c r="G4305" s="6" t="s">
        <v>17</v>
      </c>
      <c r="H4305" s="6" t="s">
        <v>141</v>
      </c>
      <c r="I4305" s="6" t="s">
        <v>448</v>
      </c>
      <c r="J4305" s="6" t="s">
        <v>449</v>
      </c>
      <c r="K4305" s="7">
        <v>43619</v>
      </c>
      <c r="L4305" s="8">
        <v>0.3611111111111111</v>
      </c>
      <c r="M4305" s="6" t="s">
        <v>4902</v>
      </c>
      <c r="N4305" s="6" t="s">
        <v>21</v>
      </c>
      <c r="O4305" s="6" t="s">
        <v>22</v>
      </c>
    </row>
    <row r="4306" spans="1:15" hidden="1">
      <c r="A4306" s="6" t="s">
        <v>15</v>
      </c>
      <c r="B4306" s="6" t="str">
        <f>"FES1162692870"</f>
        <v>FES1162692870</v>
      </c>
      <c r="C4306" s="7">
        <v>43616</v>
      </c>
      <c r="D4306" s="6">
        <v>1</v>
      </c>
      <c r="E4306" s="6">
        <v>2170691117</v>
      </c>
      <c r="F4306" s="6" t="s">
        <v>16</v>
      </c>
      <c r="G4306" s="6" t="s">
        <v>17</v>
      </c>
      <c r="H4306" s="6" t="s">
        <v>59</v>
      </c>
      <c r="I4306" s="6" t="s">
        <v>29</v>
      </c>
      <c r="J4306" s="6" t="s">
        <v>109</v>
      </c>
      <c r="K4306" s="7">
        <v>43619</v>
      </c>
      <c r="L4306" s="8">
        <v>0.35416666666666669</v>
      </c>
      <c r="M4306" s="6" t="s">
        <v>110</v>
      </c>
      <c r="N4306" s="6" t="s">
        <v>21</v>
      </c>
      <c r="O4306" s="6" t="s">
        <v>22</v>
      </c>
    </row>
    <row r="4307" spans="1:15">
      <c r="A4307" s="6" t="s">
        <v>15</v>
      </c>
      <c r="B4307" s="6" t="str">
        <f>"FES1162692879"</f>
        <v>FES1162692879</v>
      </c>
      <c r="C4307" s="7">
        <v>43616</v>
      </c>
      <c r="D4307" s="6">
        <v>1</v>
      </c>
      <c r="E4307" s="6">
        <v>2170690882</v>
      </c>
      <c r="F4307" s="6" t="s">
        <v>16</v>
      </c>
      <c r="G4307" s="6" t="s">
        <v>17</v>
      </c>
      <c r="H4307" s="6" t="s">
        <v>17</v>
      </c>
      <c r="I4307" s="6" t="s">
        <v>103</v>
      </c>
      <c r="J4307" s="6" t="s">
        <v>1493</v>
      </c>
      <c r="K4307" s="7">
        <v>43619</v>
      </c>
      <c r="L4307" s="8">
        <v>0.30208333333333331</v>
      </c>
      <c r="M4307" s="6" t="s">
        <v>2278</v>
      </c>
      <c r="N4307" s="6" t="s">
        <v>21</v>
      </c>
      <c r="O4307" s="6" t="s">
        <v>22</v>
      </c>
    </row>
    <row r="4308" spans="1:15">
      <c r="A4308" s="6" t="s">
        <v>15</v>
      </c>
      <c r="B4308" s="6" t="str">
        <f>"FES1162692868"</f>
        <v>FES1162692868</v>
      </c>
      <c r="C4308" s="7">
        <v>43616</v>
      </c>
      <c r="D4308" s="6">
        <v>1</v>
      </c>
      <c r="E4308" s="6">
        <v>2170691114</v>
      </c>
      <c r="F4308" s="6" t="s">
        <v>16</v>
      </c>
      <c r="G4308" s="6" t="s">
        <v>17</v>
      </c>
      <c r="H4308" s="6" t="s">
        <v>17</v>
      </c>
      <c r="I4308" s="6" t="s">
        <v>29</v>
      </c>
      <c r="J4308" s="6" t="s">
        <v>4903</v>
      </c>
      <c r="K4308" s="7">
        <v>43619</v>
      </c>
      <c r="L4308" s="8">
        <v>0.33333333333333331</v>
      </c>
      <c r="M4308" s="6" t="s">
        <v>100</v>
      </c>
      <c r="N4308" s="6" t="s">
        <v>21</v>
      </c>
      <c r="O4308" s="6" t="s">
        <v>22</v>
      </c>
    </row>
    <row r="4309" spans="1:15">
      <c r="A4309" s="6" t="s">
        <v>15</v>
      </c>
      <c r="B4309" s="6" t="str">
        <f>"FES1162692837"</f>
        <v>FES1162692837</v>
      </c>
      <c r="C4309" s="7">
        <v>43616</v>
      </c>
      <c r="D4309" s="6">
        <v>1</v>
      </c>
      <c r="E4309" s="6">
        <v>2170686564</v>
      </c>
      <c r="F4309" s="6" t="s">
        <v>16</v>
      </c>
      <c r="G4309" s="6" t="s">
        <v>17</v>
      </c>
      <c r="H4309" s="6" t="s">
        <v>17</v>
      </c>
      <c r="I4309" s="6" t="s">
        <v>23</v>
      </c>
      <c r="J4309" s="6" t="s">
        <v>106</v>
      </c>
      <c r="K4309" s="7">
        <v>43619</v>
      </c>
      <c r="L4309" s="8">
        <v>0.33333333333333331</v>
      </c>
      <c r="M4309" s="6" t="s">
        <v>1082</v>
      </c>
      <c r="N4309" s="6" t="s">
        <v>21</v>
      </c>
      <c r="O4309" s="6" t="s">
        <v>22</v>
      </c>
    </row>
    <row r="4310" spans="1:15">
      <c r="A4310" s="6" t="s">
        <v>15</v>
      </c>
      <c r="B4310" s="6" t="str">
        <f>"FES1162692852"</f>
        <v>FES1162692852</v>
      </c>
      <c r="C4310" s="7">
        <v>43616</v>
      </c>
      <c r="D4310" s="6">
        <v>1</v>
      </c>
      <c r="E4310" s="6">
        <v>217069825</v>
      </c>
      <c r="F4310" s="6" t="s">
        <v>16</v>
      </c>
      <c r="G4310" s="6" t="s">
        <v>17</v>
      </c>
      <c r="H4310" s="6" t="s">
        <v>17</v>
      </c>
      <c r="I4310" s="6" t="s">
        <v>64</v>
      </c>
      <c r="J4310" s="6" t="s">
        <v>98</v>
      </c>
      <c r="K4310" s="7">
        <v>43619</v>
      </c>
      <c r="L4310" s="8">
        <v>0.33680555555555558</v>
      </c>
      <c r="M4310" s="6" t="s">
        <v>4904</v>
      </c>
      <c r="N4310" s="6" t="s">
        <v>21</v>
      </c>
      <c r="O4310" s="6" t="s">
        <v>22</v>
      </c>
    </row>
    <row r="4311" spans="1:15" hidden="1">
      <c r="A4311" s="6" t="s">
        <v>15</v>
      </c>
      <c r="B4311" s="6" t="str">
        <f>"FES1162692850"</f>
        <v>FES1162692850</v>
      </c>
      <c r="C4311" s="7">
        <v>43616</v>
      </c>
      <c r="D4311" s="6">
        <v>1</v>
      </c>
      <c r="E4311" s="6">
        <v>2170689744</v>
      </c>
      <c r="F4311" s="6" t="s">
        <v>16</v>
      </c>
      <c r="G4311" s="6" t="s">
        <v>17</v>
      </c>
      <c r="H4311" s="6" t="s">
        <v>59</v>
      </c>
      <c r="I4311" s="6" t="s">
        <v>23</v>
      </c>
      <c r="J4311" s="6" t="s">
        <v>479</v>
      </c>
      <c r="K4311" s="7">
        <v>43619</v>
      </c>
      <c r="L4311" s="8">
        <v>0.36458333333333331</v>
      </c>
      <c r="M4311" s="6" t="s">
        <v>4799</v>
      </c>
      <c r="N4311" s="6" t="s">
        <v>21</v>
      </c>
      <c r="O4311" s="6" t="s">
        <v>22</v>
      </c>
    </row>
    <row r="4312" spans="1:15">
      <c r="A4312" s="6" t="s">
        <v>15</v>
      </c>
      <c r="B4312" s="6" t="str">
        <f>"FES1162692885"</f>
        <v>FES1162692885</v>
      </c>
      <c r="C4312" s="7">
        <v>43616</v>
      </c>
      <c r="D4312" s="6">
        <v>1</v>
      </c>
      <c r="E4312" s="6">
        <v>2170691147</v>
      </c>
      <c r="F4312" s="6" t="s">
        <v>16</v>
      </c>
      <c r="G4312" s="6" t="s">
        <v>17</v>
      </c>
      <c r="H4312" s="6" t="s">
        <v>17</v>
      </c>
      <c r="I4312" s="6" t="s">
        <v>103</v>
      </c>
      <c r="J4312" s="6" t="s">
        <v>143</v>
      </c>
      <c r="K4312" s="7">
        <v>43619</v>
      </c>
      <c r="L4312" s="8">
        <v>0.33333333333333331</v>
      </c>
      <c r="M4312" s="6" t="s">
        <v>4905</v>
      </c>
      <c r="N4312" s="6" t="s">
        <v>21</v>
      </c>
      <c r="O4312" s="6" t="s">
        <v>22</v>
      </c>
    </row>
    <row r="4313" spans="1:15">
      <c r="A4313" s="6" t="s">
        <v>15</v>
      </c>
      <c r="B4313" s="6" t="str">
        <f>"FES1162692855"</f>
        <v>FES1162692855</v>
      </c>
      <c r="C4313" s="7">
        <v>43616</v>
      </c>
      <c r="D4313" s="6">
        <v>1</v>
      </c>
      <c r="E4313" s="6">
        <v>2170690076</v>
      </c>
      <c r="F4313" s="6" t="s">
        <v>16</v>
      </c>
      <c r="G4313" s="6" t="s">
        <v>17</v>
      </c>
      <c r="H4313" s="6" t="s">
        <v>17</v>
      </c>
      <c r="I4313" s="6" t="s">
        <v>613</v>
      </c>
      <c r="J4313" s="6" t="s">
        <v>706</v>
      </c>
      <c r="K4313" s="7">
        <v>43619</v>
      </c>
      <c r="L4313" s="8">
        <v>0.29097222222222224</v>
      </c>
      <c r="M4313" s="6" t="s">
        <v>1609</v>
      </c>
      <c r="N4313" s="6" t="s">
        <v>21</v>
      </c>
      <c r="O4313" s="6" t="s">
        <v>22</v>
      </c>
    </row>
    <row r="4314" spans="1:15">
      <c r="A4314" s="42" t="s">
        <v>15</v>
      </c>
      <c r="B4314" s="42" t="str">
        <f>"FES1162692865"</f>
        <v>FES1162692865</v>
      </c>
      <c r="C4314" s="43">
        <v>43616</v>
      </c>
      <c r="D4314" s="42">
        <v>1</v>
      </c>
      <c r="E4314" s="42">
        <v>2170691111</v>
      </c>
      <c r="F4314" s="42" t="s">
        <v>16</v>
      </c>
      <c r="G4314" s="42" t="s">
        <v>17</v>
      </c>
      <c r="H4314" s="42" t="s">
        <v>17</v>
      </c>
      <c r="I4314" s="42" t="s">
        <v>421</v>
      </c>
      <c r="J4314" s="42" t="s">
        <v>885</v>
      </c>
      <c r="K4314" s="42" t="s">
        <v>1730</v>
      </c>
      <c r="L4314" s="42"/>
      <c r="M4314" s="42" t="s">
        <v>1731</v>
      </c>
      <c r="N4314" s="42" t="s">
        <v>4906</v>
      </c>
      <c r="O4314" s="42" t="s">
        <v>4906</v>
      </c>
    </row>
    <row r="4315" spans="1:15">
      <c r="A4315" s="6" t="s">
        <v>15</v>
      </c>
      <c r="B4315" s="6" t="str">
        <f>"FES1162692875"</f>
        <v>FES1162692875</v>
      </c>
      <c r="C4315" s="7">
        <v>43616</v>
      </c>
      <c r="D4315" s="6">
        <v>1</v>
      </c>
      <c r="E4315" s="6">
        <v>2170691130</v>
      </c>
      <c r="F4315" s="6" t="s">
        <v>16</v>
      </c>
      <c r="G4315" s="6" t="s">
        <v>17</v>
      </c>
      <c r="H4315" s="6" t="s">
        <v>17</v>
      </c>
      <c r="I4315" s="6" t="s">
        <v>23</v>
      </c>
      <c r="J4315" s="6" t="s">
        <v>4907</v>
      </c>
      <c r="K4315" s="7">
        <v>43619</v>
      </c>
      <c r="L4315" s="8">
        <v>0.37708333333333338</v>
      </c>
      <c r="M4315" s="6" t="s">
        <v>4908</v>
      </c>
      <c r="N4315" s="6" t="s">
        <v>21</v>
      </c>
      <c r="O4315" s="6" t="s">
        <v>22</v>
      </c>
    </row>
    <row r="4316" spans="1:15" hidden="1">
      <c r="A4316" s="6" t="s">
        <v>15</v>
      </c>
      <c r="B4316" s="6" t="str">
        <f>"FES1162692884"</f>
        <v>FES1162692884</v>
      </c>
      <c r="C4316" s="7">
        <v>43616</v>
      </c>
      <c r="D4316" s="6">
        <v>1</v>
      </c>
      <c r="E4316" s="6">
        <v>2170691145</v>
      </c>
      <c r="F4316" s="6" t="s">
        <v>16</v>
      </c>
      <c r="G4316" s="6" t="s">
        <v>17</v>
      </c>
      <c r="H4316" s="6" t="s">
        <v>43</v>
      </c>
      <c r="I4316" s="6" t="s">
        <v>44</v>
      </c>
      <c r="J4316" s="6" t="s">
        <v>745</v>
      </c>
      <c r="K4316" s="7">
        <v>43619</v>
      </c>
      <c r="L4316" s="8">
        <v>0.40416666666666662</v>
      </c>
      <c r="M4316" s="6" t="s">
        <v>1793</v>
      </c>
      <c r="N4316" s="6" t="s">
        <v>21</v>
      </c>
      <c r="O4316" s="6" t="s">
        <v>22</v>
      </c>
    </row>
    <row r="4317" spans="1:15">
      <c r="A4317" s="6" t="s">
        <v>15</v>
      </c>
      <c r="B4317" s="6" t="str">
        <f>"FES1162692869"</f>
        <v>FES1162692869</v>
      </c>
      <c r="C4317" s="7">
        <v>43616</v>
      </c>
      <c r="D4317" s="6">
        <v>1</v>
      </c>
      <c r="E4317" s="6">
        <v>2170691116</v>
      </c>
      <c r="F4317" s="6" t="s">
        <v>16</v>
      </c>
      <c r="G4317" s="6" t="s">
        <v>17</v>
      </c>
      <c r="H4317" s="6" t="s">
        <v>17</v>
      </c>
      <c r="I4317" s="6" t="s">
        <v>148</v>
      </c>
      <c r="J4317" s="6" t="s">
        <v>164</v>
      </c>
      <c r="K4317" s="7">
        <v>43619</v>
      </c>
      <c r="L4317" s="8">
        <v>0.33333333333333331</v>
      </c>
      <c r="M4317" s="6" t="s">
        <v>3172</v>
      </c>
      <c r="N4317" s="6" t="s">
        <v>21</v>
      </c>
      <c r="O4317" s="6" t="s">
        <v>22</v>
      </c>
    </row>
    <row r="4318" spans="1:15">
      <c r="A4318" s="6" t="s">
        <v>15</v>
      </c>
      <c r="B4318" s="6" t="str">
        <f>"FES1162692871"</f>
        <v>FES1162692871</v>
      </c>
      <c r="C4318" s="7">
        <v>43616</v>
      </c>
      <c r="D4318" s="6">
        <v>1</v>
      </c>
      <c r="E4318" s="6">
        <v>2170691121</v>
      </c>
      <c r="F4318" s="6" t="s">
        <v>16</v>
      </c>
      <c r="G4318" s="6" t="s">
        <v>17</v>
      </c>
      <c r="H4318" s="6" t="s">
        <v>17</v>
      </c>
      <c r="I4318" s="6" t="s">
        <v>18</v>
      </c>
      <c r="J4318" s="6" t="s">
        <v>19</v>
      </c>
      <c r="K4318" s="7">
        <v>43619</v>
      </c>
      <c r="L4318" s="8">
        <v>0.36249999999999999</v>
      </c>
      <c r="M4318" s="6" t="s">
        <v>325</v>
      </c>
      <c r="N4318" s="6" t="s">
        <v>21</v>
      </c>
      <c r="O4318" s="6" t="s">
        <v>22</v>
      </c>
    </row>
    <row r="4319" spans="1:15" hidden="1">
      <c r="A4319" s="6" t="s">
        <v>15</v>
      </c>
      <c r="B4319" s="6" t="str">
        <f>"FES1162692907"</f>
        <v>FES1162692907</v>
      </c>
      <c r="C4319" s="7">
        <v>43616</v>
      </c>
      <c r="D4319" s="6">
        <v>1</v>
      </c>
      <c r="E4319" s="6">
        <v>2170691170</v>
      </c>
      <c r="F4319" s="6" t="s">
        <v>16</v>
      </c>
      <c r="G4319" s="6" t="s">
        <v>17</v>
      </c>
      <c r="H4319" s="6" t="s">
        <v>43</v>
      </c>
      <c r="I4319" s="6" t="s">
        <v>75</v>
      </c>
      <c r="J4319" s="6" t="s">
        <v>2472</v>
      </c>
      <c r="K4319" s="7">
        <v>43619</v>
      </c>
      <c r="L4319" s="8">
        <v>0.4777777777777778</v>
      </c>
      <c r="M4319" s="6" t="s">
        <v>2473</v>
      </c>
      <c r="N4319" s="6" t="s">
        <v>21</v>
      </c>
      <c r="O4319" s="6" t="s">
        <v>22</v>
      </c>
    </row>
    <row r="4320" spans="1:15" hidden="1">
      <c r="A4320" s="6" t="s">
        <v>15</v>
      </c>
      <c r="B4320" s="6" t="str">
        <f>"FES1162692861"</f>
        <v>FES1162692861</v>
      </c>
      <c r="C4320" s="7">
        <v>43616</v>
      </c>
      <c r="D4320" s="6">
        <v>1</v>
      </c>
      <c r="E4320" s="6">
        <v>2170690696</v>
      </c>
      <c r="F4320" s="6" t="s">
        <v>16</v>
      </c>
      <c r="G4320" s="6" t="s">
        <v>17</v>
      </c>
      <c r="H4320" s="6" t="s">
        <v>43</v>
      </c>
      <c r="I4320" s="6" t="s">
        <v>44</v>
      </c>
      <c r="J4320" s="6" t="s">
        <v>748</v>
      </c>
      <c r="K4320" s="7">
        <v>43619</v>
      </c>
      <c r="L4320" s="8">
        <v>0.3666666666666667</v>
      </c>
      <c r="M4320" s="6" t="s">
        <v>4909</v>
      </c>
      <c r="N4320" s="6" t="s">
        <v>21</v>
      </c>
      <c r="O4320" s="6" t="s">
        <v>22</v>
      </c>
    </row>
    <row r="4321" spans="1:15">
      <c r="A4321" s="6" t="s">
        <v>15</v>
      </c>
      <c r="B4321" s="6" t="str">
        <f>"FES1162692874"</f>
        <v>FES1162692874</v>
      </c>
      <c r="C4321" s="7">
        <v>43616</v>
      </c>
      <c r="D4321" s="6">
        <v>1</v>
      </c>
      <c r="E4321" s="6">
        <v>2170691127</v>
      </c>
      <c r="F4321" s="6" t="s">
        <v>16</v>
      </c>
      <c r="G4321" s="6" t="s">
        <v>17</v>
      </c>
      <c r="H4321" s="6" t="s">
        <v>17</v>
      </c>
      <c r="I4321" s="6" t="s">
        <v>64</v>
      </c>
      <c r="J4321" s="6" t="s">
        <v>3818</v>
      </c>
      <c r="K4321" s="7">
        <v>43619</v>
      </c>
      <c r="L4321" s="8">
        <v>0.44722222222222219</v>
      </c>
      <c r="M4321" s="6" t="s">
        <v>4910</v>
      </c>
      <c r="N4321" s="6" t="s">
        <v>21</v>
      </c>
      <c r="O4321" s="6" t="s">
        <v>22</v>
      </c>
    </row>
    <row r="4322" spans="1:15" hidden="1">
      <c r="A4322" s="6" t="s">
        <v>15</v>
      </c>
      <c r="B4322" s="6" t="str">
        <f>"FES1162692898"</f>
        <v>FES1162692898</v>
      </c>
      <c r="C4322" s="7">
        <v>43616</v>
      </c>
      <c r="D4322" s="6">
        <v>1</v>
      </c>
      <c r="E4322" s="6">
        <v>2170691161</v>
      </c>
      <c r="F4322" s="6" t="s">
        <v>16</v>
      </c>
      <c r="G4322" s="6" t="s">
        <v>17</v>
      </c>
      <c r="H4322" s="6" t="s">
        <v>43</v>
      </c>
      <c r="I4322" s="6" t="s">
        <v>44</v>
      </c>
      <c r="J4322" s="6" t="s">
        <v>1605</v>
      </c>
      <c r="K4322" s="7">
        <v>43619</v>
      </c>
      <c r="L4322" s="8">
        <v>0.33680555555555558</v>
      </c>
      <c r="M4322" s="6" t="s">
        <v>2834</v>
      </c>
      <c r="N4322" s="6" t="s">
        <v>21</v>
      </c>
      <c r="O4322" s="6" t="s">
        <v>22</v>
      </c>
    </row>
    <row r="4323" spans="1:15" hidden="1">
      <c r="A4323" s="6" t="s">
        <v>15</v>
      </c>
      <c r="B4323" s="6" t="str">
        <f>"FES1162692854"</f>
        <v>FES1162692854</v>
      </c>
      <c r="C4323" s="7">
        <v>43616</v>
      </c>
      <c r="D4323" s="6">
        <v>1</v>
      </c>
      <c r="E4323" s="6">
        <v>2170690058</v>
      </c>
      <c r="F4323" s="6" t="s">
        <v>16</v>
      </c>
      <c r="G4323" s="6" t="s">
        <v>17</v>
      </c>
      <c r="H4323" s="6" t="s">
        <v>43</v>
      </c>
      <c r="I4323" s="6" t="s">
        <v>44</v>
      </c>
      <c r="J4323" s="6" t="s">
        <v>48</v>
      </c>
      <c r="K4323" s="7">
        <v>43619</v>
      </c>
      <c r="L4323" s="8">
        <v>0.32500000000000001</v>
      </c>
      <c r="M4323" s="6" t="s">
        <v>4911</v>
      </c>
      <c r="N4323" s="6" t="s">
        <v>21</v>
      </c>
      <c r="O4323" s="6" t="s">
        <v>22</v>
      </c>
    </row>
    <row r="4324" spans="1:15" hidden="1">
      <c r="A4324" s="6" t="s">
        <v>15</v>
      </c>
      <c r="B4324" s="6" t="str">
        <f>"FES1162692895"</f>
        <v>FES1162692895</v>
      </c>
      <c r="C4324" s="7">
        <v>43616</v>
      </c>
      <c r="D4324" s="6">
        <v>1</v>
      </c>
      <c r="E4324" s="6">
        <v>217061158</v>
      </c>
      <c r="F4324" s="6" t="s">
        <v>16</v>
      </c>
      <c r="G4324" s="6" t="s">
        <v>17</v>
      </c>
      <c r="H4324" s="6" t="s">
        <v>43</v>
      </c>
      <c r="I4324" s="6" t="s">
        <v>44</v>
      </c>
      <c r="J4324" s="6" t="s">
        <v>1605</v>
      </c>
      <c r="K4324" s="7">
        <v>43619</v>
      </c>
      <c r="L4324" s="8">
        <v>0.33680555555555558</v>
      </c>
      <c r="M4324" s="6" t="s">
        <v>2834</v>
      </c>
      <c r="N4324" s="6" t="s">
        <v>21</v>
      </c>
      <c r="O4324" s="6" t="s">
        <v>22</v>
      </c>
    </row>
    <row r="4325" spans="1:15" hidden="1">
      <c r="A4325" s="6" t="s">
        <v>15</v>
      </c>
      <c r="B4325" s="6" t="str">
        <f>"FES1162692914"</f>
        <v>FES1162692914</v>
      </c>
      <c r="C4325" s="7">
        <v>43616</v>
      </c>
      <c r="D4325" s="6">
        <v>1</v>
      </c>
      <c r="E4325" s="6">
        <v>2170691181</v>
      </c>
      <c r="F4325" s="6" t="s">
        <v>16</v>
      </c>
      <c r="G4325" s="6" t="s">
        <v>17</v>
      </c>
      <c r="H4325" s="6" t="s">
        <v>43</v>
      </c>
      <c r="I4325" s="6" t="s">
        <v>44</v>
      </c>
      <c r="J4325" s="6" t="s">
        <v>48</v>
      </c>
      <c r="K4325" s="7">
        <v>43619</v>
      </c>
      <c r="L4325" s="8">
        <v>0.32500000000000001</v>
      </c>
      <c r="M4325" s="6" t="s">
        <v>4911</v>
      </c>
      <c r="N4325" s="6" t="s">
        <v>21</v>
      </c>
      <c r="O4325" s="6" t="s">
        <v>22</v>
      </c>
    </row>
    <row r="4326" spans="1:15" hidden="1">
      <c r="A4326" s="6" t="s">
        <v>15</v>
      </c>
      <c r="B4326" s="6" t="str">
        <f>"FES1162692913"</f>
        <v>FES1162692913</v>
      </c>
      <c r="C4326" s="7">
        <v>43616</v>
      </c>
      <c r="D4326" s="6">
        <v>1</v>
      </c>
      <c r="E4326" s="6">
        <v>2170691178</v>
      </c>
      <c r="F4326" s="6" t="s">
        <v>16</v>
      </c>
      <c r="G4326" s="6" t="s">
        <v>17</v>
      </c>
      <c r="H4326" s="6" t="s">
        <v>43</v>
      </c>
      <c r="I4326" s="6" t="s">
        <v>75</v>
      </c>
      <c r="J4326" s="6" t="s">
        <v>3422</v>
      </c>
      <c r="K4326" s="7">
        <v>43619</v>
      </c>
      <c r="L4326" s="8">
        <v>0.32430555555555557</v>
      </c>
      <c r="M4326" s="6" t="s">
        <v>4815</v>
      </c>
      <c r="N4326" s="6" t="s">
        <v>21</v>
      </c>
      <c r="O4326" s="6" t="s">
        <v>22</v>
      </c>
    </row>
    <row r="4327" spans="1:15" hidden="1">
      <c r="A4327" s="27" t="s">
        <v>15</v>
      </c>
      <c r="B4327" s="27" t="str">
        <f>"FES1162692856"</f>
        <v>FES1162692856</v>
      </c>
      <c r="C4327" s="28">
        <v>43616</v>
      </c>
      <c r="D4327" s="27">
        <v>1</v>
      </c>
      <c r="E4327" s="27">
        <v>2170690160</v>
      </c>
      <c r="F4327" s="27" t="s">
        <v>16</v>
      </c>
      <c r="G4327" s="27" t="s">
        <v>17</v>
      </c>
      <c r="H4327" s="27" t="s">
        <v>43</v>
      </c>
      <c r="I4327" s="27" t="s">
        <v>44</v>
      </c>
      <c r="J4327" s="27" t="s">
        <v>1284</v>
      </c>
      <c r="K4327" s="27" t="s">
        <v>1730</v>
      </c>
      <c r="L4327" s="27"/>
      <c r="M4327" s="27" t="s">
        <v>1731</v>
      </c>
      <c r="N4327" s="27" t="s">
        <v>4912</v>
      </c>
      <c r="O4327" s="27" t="s">
        <v>22</v>
      </c>
    </row>
    <row r="4328" spans="1:15" hidden="1">
      <c r="A4328" s="6" t="s">
        <v>15</v>
      </c>
      <c r="B4328" s="6" t="str">
        <f>"FES1162692851"</f>
        <v>FES1162692851</v>
      </c>
      <c r="C4328" s="7">
        <v>43616</v>
      </c>
      <c r="D4328" s="6">
        <v>1</v>
      </c>
      <c r="E4328" s="6">
        <v>2170689777</v>
      </c>
      <c r="F4328" s="6" t="s">
        <v>16</v>
      </c>
      <c r="G4328" s="6" t="s">
        <v>17</v>
      </c>
      <c r="H4328" s="6" t="s">
        <v>141</v>
      </c>
      <c r="I4328" s="6" t="s">
        <v>448</v>
      </c>
      <c r="J4328" s="6" t="s">
        <v>449</v>
      </c>
      <c r="K4328" s="7">
        <v>43619</v>
      </c>
      <c r="L4328" s="8">
        <v>0.3611111111111111</v>
      </c>
      <c r="M4328" s="6" t="s">
        <v>4902</v>
      </c>
      <c r="N4328" s="6" t="s">
        <v>21</v>
      </c>
      <c r="O4328" s="6" t="s">
        <v>22</v>
      </c>
    </row>
    <row r="4329" spans="1:15" hidden="1">
      <c r="A4329" s="6" t="s">
        <v>15</v>
      </c>
      <c r="B4329" s="6" t="str">
        <f>"FES1162692844"</f>
        <v>FES1162692844</v>
      </c>
      <c r="C4329" s="7">
        <v>43616</v>
      </c>
      <c r="D4329" s="6">
        <v>1</v>
      </c>
      <c r="E4329" s="6">
        <v>2170689027</v>
      </c>
      <c r="F4329" s="6" t="s">
        <v>16</v>
      </c>
      <c r="G4329" s="6" t="s">
        <v>17</v>
      </c>
      <c r="H4329" s="6" t="s">
        <v>141</v>
      </c>
      <c r="I4329" s="6" t="s">
        <v>458</v>
      </c>
      <c r="J4329" s="6" t="s">
        <v>3332</v>
      </c>
      <c r="K4329" s="7">
        <v>43619</v>
      </c>
      <c r="L4329" s="8">
        <v>0.38194444444444442</v>
      </c>
      <c r="M4329" s="6" t="s">
        <v>4913</v>
      </c>
      <c r="N4329" s="6" t="s">
        <v>21</v>
      </c>
      <c r="O4329" s="6" t="s">
        <v>22</v>
      </c>
    </row>
    <row r="4330" spans="1:15" hidden="1">
      <c r="A4330" s="6" t="s">
        <v>15</v>
      </c>
      <c r="B4330" s="6" t="str">
        <f>"FES1162692872"</f>
        <v>FES1162692872</v>
      </c>
      <c r="C4330" s="7">
        <v>43616</v>
      </c>
      <c r="D4330" s="6">
        <v>1</v>
      </c>
      <c r="E4330" s="6">
        <v>2170691125</v>
      </c>
      <c r="F4330" s="6" t="s">
        <v>16</v>
      </c>
      <c r="G4330" s="6" t="s">
        <v>17</v>
      </c>
      <c r="H4330" s="6" t="s">
        <v>141</v>
      </c>
      <c r="I4330" s="6" t="s">
        <v>142</v>
      </c>
      <c r="J4330" s="6" t="s">
        <v>2697</v>
      </c>
      <c r="K4330" s="7">
        <v>43619</v>
      </c>
      <c r="L4330" s="8">
        <v>0.41666666666666669</v>
      </c>
      <c r="M4330" s="6" t="s">
        <v>4914</v>
      </c>
      <c r="N4330" s="6" t="s">
        <v>21</v>
      </c>
      <c r="O4330" s="6" t="s">
        <v>22</v>
      </c>
    </row>
    <row r="4331" spans="1:15" hidden="1">
      <c r="A4331" s="6" t="s">
        <v>15</v>
      </c>
      <c r="B4331" s="6" t="str">
        <f>"FES1162692864"</f>
        <v>FES1162692864</v>
      </c>
      <c r="C4331" s="7">
        <v>43616</v>
      </c>
      <c r="D4331" s="6">
        <v>1</v>
      </c>
      <c r="E4331" s="6">
        <v>21706911110</v>
      </c>
      <c r="F4331" s="6" t="s">
        <v>16</v>
      </c>
      <c r="G4331" s="6" t="s">
        <v>17</v>
      </c>
      <c r="H4331" s="6" t="s">
        <v>32</v>
      </c>
      <c r="I4331" s="6" t="s">
        <v>33</v>
      </c>
      <c r="J4331" s="6" t="s">
        <v>360</v>
      </c>
      <c r="K4331" s="7">
        <v>43619</v>
      </c>
      <c r="L4331" s="8">
        <v>0.37152777777777773</v>
      </c>
      <c r="M4331" s="6" t="s">
        <v>1727</v>
      </c>
      <c r="N4331" s="6" t="s">
        <v>21</v>
      </c>
      <c r="O4331" s="6" t="s">
        <v>22</v>
      </c>
    </row>
    <row r="4332" spans="1:15" hidden="1">
      <c r="A4332" s="6" t="s">
        <v>15</v>
      </c>
      <c r="B4332" s="6" t="str">
        <f>"FES1162692863"</f>
        <v>FES1162692863</v>
      </c>
      <c r="C4332" s="7">
        <v>43616</v>
      </c>
      <c r="D4332" s="6">
        <v>1</v>
      </c>
      <c r="E4332" s="6">
        <v>2170690976</v>
      </c>
      <c r="F4332" s="6" t="s">
        <v>16</v>
      </c>
      <c r="G4332" s="6" t="s">
        <v>17</v>
      </c>
      <c r="H4332" s="6" t="s">
        <v>141</v>
      </c>
      <c r="I4332" s="6" t="s">
        <v>142</v>
      </c>
      <c r="J4332" s="6" t="s">
        <v>1610</v>
      </c>
      <c r="K4332" s="7">
        <v>43619</v>
      </c>
      <c r="L4332" s="8">
        <v>0.35416666666666669</v>
      </c>
      <c r="M4332" s="6" t="s">
        <v>4915</v>
      </c>
      <c r="N4332" s="6" t="s">
        <v>21</v>
      </c>
      <c r="O4332" s="6" t="s">
        <v>22</v>
      </c>
    </row>
    <row r="4333" spans="1:15" hidden="1">
      <c r="A4333" s="6" t="s">
        <v>15</v>
      </c>
      <c r="B4333" s="6" t="str">
        <f>"FES1162692915"</f>
        <v>FES1162692915</v>
      </c>
      <c r="C4333" s="7">
        <v>43616</v>
      </c>
      <c r="D4333" s="6">
        <v>1</v>
      </c>
      <c r="E4333" s="6">
        <v>2170691187</v>
      </c>
      <c r="F4333" s="6" t="s">
        <v>16</v>
      </c>
      <c r="G4333" s="6" t="s">
        <v>17</v>
      </c>
      <c r="H4333" s="6" t="s">
        <v>37</v>
      </c>
      <c r="I4333" s="6" t="s">
        <v>38</v>
      </c>
      <c r="J4333" s="6" t="s">
        <v>1512</v>
      </c>
      <c r="K4333" s="7">
        <v>43619</v>
      </c>
      <c r="L4333" s="8">
        <v>0.34722222222222227</v>
      </c>
      <c r="M4333" s="6" t="s">
        <v>1423</v>
      </c>
      <c r="N4333" s="6" t="s">
        <v>21</v>
      </c>
      <c r="O4333" s="6" t="s">
        <v>22</v>
      </c>
    </row>
    <row r="4334" spans="1:15" hidden="1">
      <c r="A4334" s="6" t="s">
        <v>15</v>
      </c>
      <c r="B4334" s="6" t="str">
        <f>"FES1162692899"</f>
        <v>FES1162692899</v>
      </c>
      <c r="C4334" s="7">
        <v>43616</v>
      </c>
      <c r="D4334" s="6">
        <v>1</v>
      </c>
      <c r="E4334" s="6">
        <v>2170691162</v>
      </c>
      <c r="F4334" s="6" t="s">
        <v>16</v>
      </c>
      <c r="G4334" s="6" t="s">
        <v>17</v>
      </c>
      <c r="H4334" s="6" t="s">
        <v>37</v>
      </c>
      <c r="I4334" s="6" t="s">
        <v>38</v>
      </c>
      <c r="J4334" s="6" t="s">
        <v>4916</v>
      </c>
      <c r="K4334" s="7">
        <v>43619</v>
      </c>
      <c r="L4334" s="8">
        <v>0.35416666666666669</v>
      </c>
      <c r="M4334" s="6" t="s">
        <v>4911</v>
      </c>
      <c r="N4334" s="6" t="s">
        <v>21</v>
      </c>
      <c r="O4334" s="6" t="s">
        <v>22</v>
      </c>
    </row>
    <row r="4335" spans="1:15" hidden="1">
      <c r="A4335" s="6" t="s">
        <v>15</v>
      </c>
      <c r="B4335" s="6" t="str">
        <f>"FES1162692862"</f>
        <v>FES1162692862</v>
      </c>
      <c r="C4335" s="7">
        <v>43616</v>
      </c>
      <c r="D4335" s="6">
        <v>1</v>
      </c>
      <c r="E4335" s="6">
        <v>2170690763</v>
      </c>
      <c r="F4335" s="6" t="s">
        <v>16</v>
      </c>
      <c r="G4335" s="6" t="s">
        <v>17</v>
      </c>
      <c r="H4335" s="6" t="s">
        <v>141</v>
      </c>
      <c r="I4335" s="6" t="s">
        <v>142</v>
      </c>
      <c r="J4335" s="6" t="s">
        <v>195</v>
      </c>
      <c r="K4335" s="7">
        <v>43619</v>
      </c>
      <c r="L4335" s="8">
        <v>0.40833333333333338</v>
      </c>
      <c r="M4335" s="6" t="s">
        <v>4917</v>
      </c>
      <c r="N4335" s="6" t="s">
        <v>21</v>
      </c>
      <c r="O4335" s="6" t="s">
        <v>22</v>
      </c>
    </row>
    <row r="4336" spans="1:15" hidden="1">
      <c r="A4336" s="6" t="s">
        <v>15</v>
      </c>
      <c r="B4336" s="6" t="str">
        <f>"FES1162692887"</f>
        <v>FES1162692887</v>
      </c>
      <c r="C4336" s="7">
        <v>43616</v>
      </c>
      <c r="D4336" s="6">
        <v>1</v>
      </c>
      <c r="E4336" s="6">
        <v>21706991149</v>
      </c>
      <c r="F4336" s="6" t="s">
        <v>16</v>
      </c>
      <c r="G4336" s="6" t="s">
        <v>17</v>
      </c>
      <c r="H4336" s="6" t="s">
        <v>32</v>
      </c>
      <c r="I4336" s="6" t="s">
        <v>33</v>
      </c>
      <c r="J4336" s="6" t="s">
        <v>34</v>
      </c>
      <c r="K4336" s="7">
        <v>43619</v>
      </c>
      <c r="L4336" s="8">
        <v>0.34791666666666665</v>
      </c>
      <c r="M4336" s="6" t="s">
        <v>35</v>
      </c>
      <c r="N4336" s="6" t="s">
        <v>21</v>
      </c>
      <c r="O4336" s="6" t="s">
        <v>22</v>
      </c>
    </row>
    <row r="4337" spans="1:15" hidden="1">
      <c r="A4337" s="6" t="s">
        <v>15</v>
      </c>
      <c r="B4337" s="6" t="str">
        <f>"FES1162692911"</f>
        <v>FES1162692911</v>
      </c>
      <c r="C4337" s="7">
        <v>43616</v>
      </c>
      <c r="D4337" s="6">
        <v>1</v>
      </c>
      <c r="E4337" s="6">
        <v>2170691174</v>
      </c>
      <c r="F4337" s="6" t="s">
        <v>16</v>
      </c>
      <c r="G4337" s="6" t="s">
        <v>17</v>
      </c>
      <c r="H4337" s="6" t="s">
        <v>141</v>
      </c>
      <c r="I4337" s="6" t="s">
        <v>433</v>
      </c>
      <c r="J4337" s="6" t="s">
        <v>4918</v>
      </c>
      <c r="K4337" s="7">
        <v>43619</v>
      </c>
      <c r="L4337" s="8">
        <v>0.53055555555555556</v>
      </c>
      <c r="M4337" s="6" t="s">
        <v>4919</v>
      </c>
      <c r="N4337" s="6" t="s">
        <v>21</v>
      </c>
      <c r="O4337" s="6" t="s">
        <v>22</v>
      </c>
    </row>
    <row r="4338" spans="1:15" hidden="1">
      <c r="A4338" s="6" t="s">
        <v>15</v>
      </c>
      <c r="B4338" s="6" t="str">
        <f>"FES1162692838"</f>
        <v>FES1162692838</v>
      </c>
      <c r="C4338" s="7">
        <v>43616</v>
      </c>
      <c r="D4338" s="6">
        <v>1</v>
      </c>
      <c r="E4338" s="6">
        <v>2170687175</v>
      </c>
      <c r="F4338" s="6" t="s">
        <v>16</v>
      </c>
      <c r="G4338" s="6" t="s">
        <v>17</v>
      </c>
      <c r="H4338" s="6" t="s">
        <v>290</v>
      </c>
      <c r="I4338" s="6" t="s">
        <v>291</v>
      </c>
      <c r="J4338" s="6" t="s">
        <v>3670</v>
      </c>
      <c r="K4338" s="7">
        <v>43619</v>
      </c>
      <c r="L4338" s="8">
        <v>0.42499999999999999</v>
      </c>
      <c r="M4338" s="6" t="s">
        <v>498</v>
      </c>
      <c r="N4338" s="6" t="s">
        <v>21</v>
      </c>
      <c r="O4338" s="6" t="s">
        <v>22</v>
      </c>
    </row>
    <row r="4339" spans="1:15" hidden="1">
      <c r="A4339" s="6" t="s">
        <v>15</v>
      </c>
      <c r="B4339" s="6" t="str">
        <f>"FES1162692842"</f>
        <v>FES1162692842</v>
      </c>
      <c r="C4339" s="7">
        <v>43616</v>
      </c>
      <c r="D4339" s="6">
        <v>1</v>
      </c>
      <c r="E4339" s="6">
        <v>2170688907</v>
      </c>
      <c r="F4339" s="6" t="s">
        <v>16</v>
      </c>
      <c r="G4339" s="6" t="s">
        <v>17</v>
      </c>
      <c r="H4339" s="6" t="s">
        <v>141</v>
      </c>
      <c r="I4339" s="6" t="s">
        <v>142</v>
      </c>
      <c r="J4339" s="6" t="s">
        <v>4173</v>
      </c>
      <c r="K4339" s="7">
        <v>43619</v>
      </c>
      <c r="L4339" s="8">
        <v>0.3263888888888889</v>
      </c>
      <c r="M4339" s="6" t="s">
        <v>4174</v>
      </c>
      <c r="N4339" s="6" t="s">
        <v>21</v>
      </c>
      <c r="O4339" s="6" t="s">
        <v>22</v>
      </c>
    </row>
    <row r="4340" spans="1:15" hidden="1">
      <c r="A4340" s="6" t="s">
        <v>15</v>
      </c>
      <c r="B4340" s="6" t="str">
        <f>"FES1162692843"</f>
        <v>FES1162692843</v>
      </c>
      <c r="C4340" s="7">
        <v>43616</v>
      </c>
      <c r="D4340" s="6">
        <v>1</v>
      </c>
      <c r="E4340" s="6">
        <v>2170688919</v>
      </c>
      <c r="F4340" s="6" t="s">
        <v>16</v>
      </c>
      <c r="G4340" s="6" t="s">
        <v>17</v>
      </c>
      <c r="H4340" s="6" t="s">
        <v>300</v>
      </c>
      <c r="I4340" s="6" t="s">
        <v>301</v>
      </c>
      <c r="J4340" s="6" t="s">
        <v>506</v>
      </c>
      <c r="K4340" s="7">
        <v>43619</v>
      </c>
      <c r="L4340" s="8">
        <v>0.39513888888888887</v>
      </c>
      <c r="M4340" s="6" t="s">
        <v>1310</v>
      </c>
      <c r="N4340" s="6" t="s">
        <v>21</v>
      </c>
      <c r="O4340" s="6" t="s">
        <v>22</v>
      </c>
    </row>
    <row r="4341" spans="1:15" hidden="1">
      <c r="A4341" s="6" t="s">
        <v>15</v>
      </c>
      <c r="B4341" s="6" t="str">
        <f>"FES1162692845"</f>
        <v>FES1162692845</v>
      </c>
      <c r="C4341" s="7">
        <v>43616</v>
      </c>
      <c r="D4341" s="6">
        <v>1</v>
      </c>
      <c r="E4341" s="6">
        <v>2170689654</v>
      </c>
      <c r="F4341" s="6" t="s">
        <v>16</v>
      </c>
      <c r="G4341" s="6" t="s">
        <v>17</v>
      </c>
      <c r="H4341" s="6" t="s">
        <v>290</v>
      </c>
      <c r="I4341" s="6" t="s">
        <v>291</v>
      </c>
      <c r="J4341" s="6" t="s">
        <v>3960</v>
      </c>
      <c r="K4341" s="7">
        <v>43619</v>
      </c>
      <c r="L4341" s="8">
        <v>0.43194444444444446</v>
      </c>
      <c r="M4341" s="6" t="s">
        <v>3961</v>
      </c>
      <c r="N4341" s="6" t="s">
        <v>21</v>
      </c>
      <c r="O4341" s="6" t="s">
        <v>22</v>
      </c>
    </row>
    <row r="4342" spans="1:15" hidden="1">
      <c r="A4342" s="6" t="s">
        <v>15</v>
      </c>
      <c r="B4342" s="6" t="str">
        <f>"FES1162692853"</f>
        <v>FES1162692853</v>
      </c>
      <c r="C4342" s="7">
        <v>43616</v>
      </c>
      <c r="D4342" s="6">
        <v>1</v>
      </c>
      <c r="E4342" s="6">
        <v>2170690033</v>
      </c>
      <c r="F4342" s="6" t="s">
        <v>16</v>
      </c>
      <c r="G4342" s="6" t="s">
        <v>17</v>
      </c>
      <c r="H4342" s="6" t="s">
        <v>290</v>
      </c>
      <c r="I4342" s="6" t="s">
        <v>291</v>
      </c>
      <c r="J4342" s="6" t="s">
        <v>4920</v>
      </c>
      <c r="K4342" s="7">
        <v>43619</v>
      </c>
      <c r="L4342" s="8">
        <v>0.40277777777777773</v>
      </c>
      <c r="M4342" s="6" t="s">
        <v>4921</v>
      </c>
      <c r="N4342" s="6" t="s">
        <v>21</v>
      </c>
      <c r="O4342" s="6" t="s">
        <v>22</v>
      </c>
    </row>
    <row r="4343" spans="1:15" hidden="1">
      <c r="A4343" s="6" t="s">
        <v>15</v>
      </c>
      <c r="B4343" s="6" t="str">
        <f>"FES1162692876"</f>
        <v>FES1162692876</v>
      </c>
      <c r="C4343" s="7">
        <v>43616</v>
      </c>
      <c r="D4343" s="6">
        <v>1</v>
      </c>
      <c r="E4343" s="6">
        <v>2170689611</v>
      </c>
      <c r="F4343" s="6" t="s">
        <v>16</v>
      </c>
      <c r="G4343" s="6" t="s">
        <v>17</v>
      </c>
      <c r="H4343" s="6" t="s">
        <v>37</v>
      </c>
      <c r="I4343" s="6" t="s">
        <v>38</v>
      </c>
      <c r="J4343" s="6" t="s">
        <v>1429</v>
      </c>
      <c r="K4343" s="7">
        <v>43619</v>
      </c>
      <c r="L4343" s="8">
        <v>0.43611111111111112</v>
      </c>
      <c r="M4343" s="6" t="s">
        <v>2417</v>
      </c>
      <c r="N4343" s="6" t="s">
        <v>21</v>
      </c>
      <c r="O4343" s="6" t="s">
        <v>22</v>
      </c>
    </row>
    <row r="4344" spans="1:15" hidden="1">
      <c r="A4344" s="6" t="s">
        <v>15</v>
      </c>
      <c r="B4344" s="6" t="str">
        <f>"FES1162692839"</f>
        <v>FES1162692839</v>
      </c>
      <c r="C4344" s="7">
        <v>43616</v>
      </c>
      <c r="D4344" s="6">
        <v>1</v>
      </c>
      <c r="E4344" s="6">
        <v>2170687491</v>
      </c>
      <c r="F4344" s="6" t="s">
        <v>16</v>
      </c>
      <c r="G4344" s="6" t="s">
        <v>17</v>
      </c>
      <c r="H4344" s="6" t="s">
        <v>43</v>
      </c>
      <c r="I4344" s="6" t="s">
        <v>54</v>
      </c>
      <c r="J4344" s="6" t="s">
        <v>216</v>
      </c>
      <c r="K4344" s="7">
        <v>43619</v>
      </c>
      <c r="L4344" s="8">
        <v>0.42569444444444443</v>
      </c>
      <c r="M4344" s="6" t="s">
        <v>656</v>
      </c>
      <c r="N4344" s="6" t="s">
        <v>21</v>
      </c>
      <c r="O4344" s="6" t="s">
        <v>22</v>
      </c>
    </row>
    <row r="4345" spans="1:15" hidden="1">
      <c r="A4345" s="6" t="s">
        <v>15</v>
      </c>
      <c r="B4345" s="6" t="str">
        <f>"FES1162692940"</f>
        <v>FES1162692940</v>
      </c>
      <c r="C4345" s="7">
        <v>43616</v>
      </c>
      <c r="D4345" s="6">
        <v>1</v>
      </c>
      <c r="E4345" s="6">
        <v>2170698076</v>
      </c>
      <c r="F4345" s="6" t="s">
        <v>16</v>
      </c>
      <c r="G4345" s="6" t="s">
        <v>17</v>
      </c>
      <c r="H4345" s="6" t="s">
        <v>43</v>
      </c>
      <c r="I4345" s="6" t="s">
        <v>44</v>
      </c>
      <c r="J4345" s="6" t="s">
        <v>207</v>
      </c>
      <c r="K4345" s="7">
        <v>43619</v>
      </c>
      <c r="L4345" s="8">
        <v>0.39027777777777778</v>
      </c>
      <c r="M4345" s="6" t="s">
        <v>4922</v>
      </c>
      <c r="N4345" s="6" t="s">
        <v>21</v>
      </c>
      <c r="O4345" s="6" t="s">
        <v>22</v>
      </c>
    </row>
    <row r="4346" spans="1:15" hidden="1">
      <c r="A4346" s="6" t="s">
        <v>15</v>
      </c>
      <c r="B4346" s="6" t="str">
        <f>"FES1162692945"</f>
        <v>FES1162692945</v>
      </c>
      <c r="C4346" s="7">
        <v>43616</v>
      </c>
      <c r="D4346" s="6">
        <v>1</v>
      </c>
      <c r="E4346" s="6">
        <v>2170691217</v>
      </c>
      <c r="F4346" s="6" t="s">
        <v>16</v>
      </c>
      <c r="G4346" s="6" t="s">
        <v>17</v>
      </c>
      <c r="H4346" s="6" t="s">
        <v>141</v>
      </c>
      <c r="I4346" s="6" t="s">
        <v>142</v>
      </c>
      <c r="J4346" s="6" t="s">
        <v>4923</v>
      </c>
      <c r="K4346" s="7">
        <v>43619</v>
      </c>
      <c r="L4346" s="8">
        <v>0.30486111111111108</v>
      </c>
      <c r="M4346" s="6" t="s">
        <v>4924</v>
      </c>
      <c r="N4346" s="6" t="s">
        <v>21</v>
      </c>
      <c r="O4346" s="6" t="s">
        <v>22</v>
      </c>
    </row>
    <row r="4347" spans="1:15" hidden="1">
      <c r="A4347" s="6" t="s">
        <v>15</v>
      </c>
      <c r="B4347" s="6" t="str">
        <f>"FES1162692857"</f>
        <v>FES1162692857</v>
      </c>
      <c r="C4347" s="7">
        <v>43616</v>
      </c>
      <c r="D4347" s="6">
        <v>1</v>
      </c>
      <c r="E4347" s="6">
        <v>2170690214</v>
      </c>
      <c r="F4347" s="6" t="s">
        <v>16</v>
      </c>
      <c r="G4347" s="6" t="s">
        <v>17</v>
      </c>
      <c r="H4347" s="6" t="s">
        <v>141</v>
      </c>
      <c r="I4347" s="6" t="s">
        <v>142</v>
      </c>
      <c r="J4347" s="6" t="s">
        <v>3651</v>
      </c>
      <c r="K4347" s="7">
        <v>43619</v>
      </c>
      <c r="L4347" s="8">
        <v>0.35000000000000003</v>
      </c>
      <c r="M4347" s="6" t="s">
        <v>1205</v>
      </c>
      <c r="N4347" s="6" t="s">
        <v>21</v>
      </c>
      <c r="O4347" s="6" t="s">
        <v>22</v>
      </c>
    </row>
    <row r="4348" spans="1:15" hidden="1">
      <c r="A4348" s="6" t="s">
        <v>15</v>
      </c>
      <c r="B4348" s="6" t="str">
        <f>"FES1162692932"</f>
        <v>FES1162692932</v>
      </c>
      <c r="C4348" s="7">
        <v>43616</v>
      </c>
      <c r="D4348" s="6">
        <v>1</v>
      </c>
      <c r="E4348" s="6">
        <v>217069127</v>
      </c>
      <c r="F4348" s="6" t="s">
        <v>16</v>
      </c>
      <c r="G4348" s="6" t="s">
        <v>17</v>
      </c>
      <c r="H4348" s="6" t="s">
        <v>32</v>
      </c>
      <c r="I4348" s="6" t="s">
        <v>33</v>
      </c>
      <c r="J4348" s="6" t="s">
        <v>357</v>
      </c>
      <c r="K4348" s="7">
        <v>43619</v>
      </c>
      <c r="L4348" s="8">
        <v>0.36458333333333331</v>
      </c>
      <c r="M4348" s="6" t="s">
        <v>1051</v>
      </c>
      <c r="N4348" s="6" t="s">
        <v>21</v>
      </c>
      <c r="O4348" s="6" t="s">
        <v>22</v>
      </c>
    </row>
    <row r="4349" spans="1:15" hidden="1">
      <c r="A4349" s="6" t="s">
        <v>15</v>
      </c>
      <c r="B4349" s="6" t="str">
        <f>"FES1162692883"</f>
        <v>FES1162692883</v>
      </c>
      <c r="C4349" s="7">
        <v>43616</v>
      </c>
      <c r="D4349" s="6">
        <v>1</v>
      </c>
      <c r="E4349" s="6">
        <v>2170691144</v>
      </c>
      <c r="F4349" s="6" t="s">
        <v>58</v>
      </c>
      <c r="G4349" s="6" t="s">
        <v>59</v>
      </c>
      <c r="H4349" s="6" t="s">
        <v>2986</v>
      </c>
      <c r="I4349" s="6" t="s">
        <v>291</v>
      </c>
      <c r="J4349" s="6" t="s">
        <v>817</v>
      </c>
      <c r="K4349" s="7">
        <v>43619</v>
      </c>
      <c r="L4349" s="8">
        <v>0.44444444444444442</v>
      </c>
      <c r="M4349" s="6" t="s">
        <v>4925</v>
      </c>
      <c r="N4349" s="6" t="s">
        <v>21</v>
      </c>
      <c r="O4349" s="6" t="s">
        <v>494</v>
      </c>
    </row>
    <row r="4350" spans="1:15" hidden="1">
      <c r="A4350" s="6" t="s">
        <v>15</v>
      </c>
      <c r="B4350" s="6" t="str">
        <f>"FES1162692930"</f>
        <v>FES1162692930</v>
      </c>
      <c r="C4350" s="7">
        <v>43616</v>
      </c>
      <c r="D4350" s="6">
        <v>1</v>
      </c>
      <c r="E4350" s="6">
        <v>2170691205</v>
      </c>
      <c r="F4350" s="6" t="s">
        <v>16</v>
      </c>
      <c r="G4350" s="6" t="s">
        <v>17</v>
      </c>
      <c r="H4350" s="6" t="s">
        <v>290</v>
      </c>
      <c r="I4350" s="6" t="s">
        <v>291</v>
      </c>
      <c r="J4350" s="6" t="s">
        <v>3015</v>
      </c>
      <c r="K4350" s="7">
        <v>43619</v>
      </c>
      <c r="L4350" s="8">
        <v>0.44444444444444442</v>
      </c>
      <c r="M4350" s="6" t="s">
        <v>3015</v>
      </c>
      <c r="N4350" s="6" t="s">
        <v>21</v>
      </c>
      <c r="O4350" s="6" t="s">
        <v>22</v>
      </c>
    </row>
    <row r="4351" spans="1:15" hidden="1">
      <c r="A4351" s="6" t="s">
        <v>15</v>
      </c>
      <c r="B4351" s="6" t="str">
        <f>"FES1162692925"</f>
        <v>FES1162692925</v>
      </c>
      <c r="C4351" s="7">
        <v>43616</v>
      </c>
      <c r="D4351" s="6">
        <v>1</v>
      </c>
      <c r="E4351" s="6">
        <v>217069122</v>
      </c>
      <c r="F4351" s="6" t="s">
        <v>16</v>
      </c>
      <c r="G4351" s="6" t="s">
        <v>17</v>
      </c>
      <c r="H4351" s="6" t="s">
        <v>37</v>
      </c>
      <c r="I4351" s="6" t="s">
        <v>38</v>
      </c>
      <c r="J4351" s="6" t="s">
        <v>1771</v>
      </c>
      <c r="K4351" s="7">
        <v>43619</v>
      </c>
      <c r="L4351" s="8">
        <v>0.41666666666666669</v>
      </c>
      <c r="M4351" s="6" t="s">
        <v>4926</v>
      </c>
      <c r="N4351" s="6" t="s">
        <v>21</v>
      </c>
      <c r="O4351" s="6" t="s">
        <v>22</v>
      </c>
    </row>
    <row r="4352" spans="1:15" hidden="1">
      <c r="A4352" s="6" t="s">
        <v>15</v>
      </c>
      <c r="B4352" s="6" t="str">
        <f>"FES1162692917"</f>
        <v>FES1162692917</v>
      </c>
      <c r="C4352" s="7">
        <v>43616</v>
      </c>
      <c r="D4352" s="6">
        <v>1</v>
      </c>
      <c r="E4352" s="6">
        <v>2170691189</v>
      </c>
      <c r="F4352" s="6" t="s">
        <v>16</v>
      </c>
      <c r="G4352" s="6" t="s">
        <v>17</v>
      </c>
      <c r="H4352" s="6" t="s">
        <v>290</v>
      </c>
      <c r="I4352" s="6" t="s">
        <v>291</v>
      </c>
      <c r="J4352" s="6" t="s">
        <v>1293</v>
      </c>
      <c r="K4352" s="7">
        <v>43619</v>
      </c>
      <c r="L4352" s="8">
        <v>0.3888888888888889</v>
      </c>
      <c r="M4352" s="6" t="s">
        <v>2887</v>
      </c>
      <c r="N4352" s="6" t="s">
        <v>21</v>
      </c>
      <c r="O4352" s="6" t="s">
        <v>22</v>
      </c>
    </row>
    <row r="4353" spans="1:15" hidden="1">
      <c r="A4353" s="6" t="s">
        <v>15</v>
      </c>
      <c r="B4353" s="6" t="str">
        <f>"FES1162692926"</f>
        <v>FES1162692926</v>
      </c>
      <c r="C4353" s="7">
        <v>43616</v>
      </c>
      <c r="D4353" s="6">
        <v>1</v>
      </c>
      <c r="E4353" s="6">
        <v>2170691203</v>
      </c>
      <c r="F4353" s="6" t="s">
        <v>16</v>
      </c>
      <c r="G4353" s="6" t="s">
        <v>17</v>
      </c>
      <c r="H4353" s="6" t="s">
        <v>43</v>
      </c>
      <c r="I4353" s="6" t="s">
        <v>75</v>
      </c>
      <c r="J4353" s="6" t="s">
        <v>2223</v>
      </c>
      <c r="K4353" s="7">
        <v>43619</v>
      </c>
      <c r="L4353" s="8">
        <v>0.49027777777777781</v>
      </c>
      <c r="M4353" s="6" t="s">
        <v>2880</v>
      </c>
      <c r="N4353" s="6" t="s">
        <v>21</v>
      </c>
      <c r="O4353" s="6" t="s">
        <v>22</v>
      </c>
    </row>
    <row r="4354" spans="1:15">
      <c r="A4354" s="6" t="s">
        <v>15</v>
      </c>
      <c r="B4354" s="6" t="str">
        <f>"FES1162692866"</f>
        <v>FES1162692866</v>
      </c>
      <c r="C4354" s="7">
        <v>43616</v>
      </c>
      <c r="D4354" s="6">
        <v>1</v>
      </c>
      <c r="E4354" s="6">
        <v>2170691112</v>
      </c>
      <c r="F4354" s="6" t="s">
        <v>16</v>
      </c>
      <c r="G4354" s="6" t="s">
        <v>17</v>
      </c>
      <c r="H4354" s="6" t="s">
        <v>17</v>
      </c>
      <c r="I4354" s="6" t="s">
        <v>18</v>
      </c>
      <c r="J4354" s="6" t="s">
        <v>19</v>
      </c>
      <c r="K4354" s="7">
        <v>43619</v>
      </c>
      <c r="L4354" s="8">
        <v>0.36249999999999999</v>
      </c>
      <c r="M4354" s="6" t="s">
        <v>325</v>
      </c>
      <c r="N4354" s="6" t="s">
        <v>21</v>
      </c>
      <c r="O4354" s="6" t="s">
        <v>22</v>
      </c>
    </row>
    <row r="4355" spans="1:15">
      <c r="A4355" s="6" t="s">
        <v>15</v>
      </c>
      <c r="B4355" s="6" t="str">
        <f>"FES1162692888"</f>
        <v>FES1162692888</v>
      </c>
      <c r="C4355" s="7">
        <v>43616</v>
      </c>
      <c r="D4355" s="6">
        <v>1</v>
      </c>
      <c r="E4355" s="6">
        <v>2170691151</v>
      </c>
      <c r="F4355" s="6" t="s">
        <v>16</v>
      </c>
      <c r="G4355" s="6" t="s">
        <v>17</v>
      </c>
      <c r="H4355" s="6" t="s">
        <v>17</v>
      </c>
      <c r="I4355" s="6" t="s">
        <v>23</v>
      </c>
      <c r="J4355" s="6" t="s">
        <v>158</v>
      </c>
      <c r="K4355" s="7">
        <v>43619</v>
      </c>
      <c r="L4355" s="8">
        <v>0.32847222222222222</v>
      </c>
      <c r="M4355" s="6" t="s">
        <v>1537</v>
      </c>
      <c r="N4355" s="6" t="s">
        <v>21</v>
      </c>
      <c r="O4355" s="6" t="s">
        <v>22</v>
      </c>
    </row>
    <row r="4356" spans="1:15" hidden="1">
      <c r="A4356" s="6" t="s">
        <v>15</v>
      </c>
      <c r="B4356" s="6" t="str">
        <f>"FES1162692943"</f>
        <v>FES1162692943</v>
      </c>
      <c r="C4356" s="7">
        <v>43616</v>
      </c>
      <c r="D4356" s="6">
        <v>1</v>
      </c>
      <c r="E4356" s="6">
        <v>2170691215</v>
      </c>
      <c r="F4356" s="6" t="s">
        <v>16</v>
      </c>
      <c r="G4356" s="6" t="s">
        <v>17</v>
      </c>
      <c r="H4356" s="6" t="s">
        <v>290</v>
      </c>
      <c r="I4356" s="6" t="s">
        <v>291</v>
      </c>
      <c r="J4356" s="6" t="s">
        <v>4159</v>
      </c>
      <c r="K4356" s="7">
        <v>43619</v>
      </c>
      <c r="L4356" s="8">
        <v>0.43055555555555558</v>
      </c>
      <c r="M4356" s="6" t="s">
        <v>2265</v>
      </c>
      <c r="N4356" s="6" t="s">
        <v>21</v>
      </c>
      <c r="O4356" s="6" t="s">
        <v>22</v>
      </c>
    </row>
    <row r="4357" spans="1:15">
      <c r="A4357" s="6" t="s">
        <v>15</v>
      </c>
      <c r="B4357" s="6" t="str">
        <f>"FES1162692886"</f>
        <v>FES1162692886</v>
      </c>
      <c r="C4357" s="7">
        <v>43616</v>
      </c>
      <c r="D4357" s="6">
        <v>1</v>
      </c>
      <c r="E4357" s="6">
        <v>2170691148</v>
      </c>
      <c r="F4357" s="6" t="s">
        <v>16</v>
      </c>
      <c r="G4357" s="6" t="s">
        <v>17</v>
      </c>
      <c r="H4357" s="6" t="s">
        <v>17</v>
      </c>
      <c r="I4357" s="6" t="s">
        <v>103</v>
      </c>
      <c r="J4357" s="6" t="s">
        <v>143</v>
      </c>
      <c r="K4357" s="7">
        <v>43619</v>
      </c>
      <c r="L4357" s="8">
        <v>0.33333333333333331</v>
      </c>
      <c r="M4357" s="6" t="s">
        <v>4927</v>
      </c>
      <c r="N4357" s="6" t="s">
        <v>21</v>
      </c>
      <c r="O4357" s="6" t="s">
        <v>22</v>
      </c>
    </row>
    <row r="4358" spans="1:15">
      <c r="A4358" s="6" t="s">
        <v>15</v>
      </c>
      <c r="B4358" s="6" t="str">
        <f>"FES1162692880"</f>
        <v>FES1162692880</v>
      </c>
      <c r="C4358" s="7">
        <v>43616</v>
      </c>
      <c r="D4358" s="6">
        <v>1</v>
      </c>
      <c r="E4358" s="6">
        <v>2170691141</v>
      </c>
      <c r="F4358" s="6" t="s">
        <v>16</v>
      </c>
      <c r="G4358" s="6" t="s">
        <v>17</v>
      </c>
      <c r="H4358" s="6" t="s">
        <v>17</v>
      </c>
      <c r="I4358" s="6" t="s">
        <v>64</v>
      </c>
      <c r="J4358" s="6" t="s">
        <v>3818</v>
      </c>
      <c r="K4358" s="7">
        <v>43619</v>
      </c>
      <c r="L4358" s="8">
        <v>0.44791666666666669</v>
      </c>
      <c r="M4358" s="6" t="s">
        <v>4910</v>
      </c>
      <c r="N4358" s="6" t="s">
        <v>21</v>
      </c>
      <c r="O4358" s="6" t="s">
        <v>22</v>
      </c>
    </row>
    <row r="4359" spans="1:15" hidden="1">
      <c r="A4359" s="6" t="s">
        <v>15</v>
      </c>
      <c r="B4359" s="6" t="str">
        <f>"FES1162692873"</f>
        <v>FES1162692873</v>
      </c>
      <c r="C4359" s="7">
        <v>43616</v>
      </c>
      <c r="D4359" s="6">
        <v>1</v>
      </c>
      <c r="E4359" s="6">
        <v>2170691126</v>
      </c>
      <c r="F4359" s="6" t="s">
        <v>16</v>
      </c>
      <c r="G4359" s="6" t="s">
        <v>17</v>
      </c>
      <c r="H4359" s="6" t="s">
        <v>43</v>
      </c>
      <c r="I4359" s="6" t="s">
        <v>44</v>
      </c>
      <c r="J4359" s="6" t="s">
        <v>2006</v>
      </c>
      <c r="K4359" s="7">
        <v>43619</v>
      </c>
      <c r="L4359" s="8">
        <v>0.50972222222222219</v>
      </c>
      <c r="M4359" s="6" t="s">
        <v>4928</v>
      </c>
      <c r="N4359" s="6" t="s">
        <v>21</v>
      </c>
      <c r="O4359" s="6" t="s">
        <v>22</v>
      </c>
    </row>
    <row r="4360" spans="1:15">
      <c r="A4360" s="6" t="s">
        <v>15</v>
      </c>
      <c r="B4360" s="6" t="str">
        <f>"FES1162692882"</f>
        <v>FES1162692882</v>
      </c>
      <c r="C4360" s="7">
        <v>43616</v>
      </c>
      <c r="D4360" s="6">
        <v>1</v>
      </c>
      <c r="E4360" s="6">
        <v>2170682887</v>
      </c>
      <c r="F4360" s="6" t="s">
        <v>16</v>
      </c>
      <c r="G4360" s="6" t="s">
        <v>17</v>
      </c>
      <c r="H4360" s="6" t="s">
        <v>17</v>
      </c>
      <c r="I4360" s="6" t="s">
        <v>84</v>
      </c>
      <c r="J4360" s="6" t="s">
        <v>1689</v>
      </c>
      <c r="K4360" s="7">
        <v>43619</v>
      </c>
      <c r="L4360" s="8">
        <v>0.33333333333333331</v>
      </c>
      <c r="M4360" s="6" t="s">
        <v>4929</v>
      </c>
      <c r="N4360" s="6" t="s">
        <v>21</v>
      </c>
      <c r="O4360" s="6" t="s">
        <v>22</v>
      </c>
    </row>
    <row r="4361" spans="1:15" hidden="1">
      <c r="A4361" s="6" t="s">
        <v>15</v>
      </c>
      <c r="B4361" s="6" t="str">
        <f>"FES1162692902"</f>
        <v>FES1162692902</v>
      </c>
      <c r="C4361" s="7">
        <v>43616</v>
      </c>
      <c r="D4361" s="6">
        <v>1</v>
      </c>
      <c r="E4361" s="6">
        <v>2170690256</v>
      </c>
      <c r="F4361" s="6" t="s">
        <v>16</v>
      </c>
      <c r="G4361" s="6" t="s">
        <v>17</v>
      </c>
      <c r="H4361" s="6" t="s">
        <v>141</v>
      </c>
      <c r="I4361" s="6" t="s">
        <v>185</v>
      </c>
      <c r="J4361" s="6" t="s">
        <v>4930</v>
      </c>
      <c r="K4361" s="7">
        <v>43619</v>
      </c>
      <c r="L4361" s="8">
        <v>0.31805555555555554</v>
      </c>
      <c r="M4361" s="6" t="s">
        <v>4931</v>
      </c>
      <c r="N4361" s="6" t="s">
        <v>21</v>
      </c>
      <c r="O4361" s="6" t="s">
        <v>4932</v>
      </c>
    </row>
    <row r="4362" spans="1:15" hidden="1">
      <c r="A4362" s="6" t="s">
        <v>15</v>
      </c>
      <c r="B4362" s="6" t="str">
        <f>"FES1162692933"</f>
        <v>FES1162692933</v>
      </c>
      <c r="C4362" s="7">
        <v>43616</v>
      </c>
      <c r="D4362" s="6">
        <v>1</v>
      </c>
      <c r="E4362" s="6">
        <v>2170691208</v>
      </c>
      <c r="F4362" s="6" t="s">
        <v>16</v>
      </c>
      <c r="G4362" s="6" t="s">
        <v>17</v>
      </c>
      <c r="H4362" s="6" t="s">
        <v>43</v>
      </c>
      <c r="I4362" s="6" t="s">
        <v>75</v>
      </c>
      <c r="J4362" s="6" t="s">
        <v>3319</v>
      </c>
      <c r="K4362" s="7">
        <v>43619</v>
      </c>
      <c r="L4362" s="8">
        <v>0.43333333333333335</v>
      </c>
      <c r="M4362" s="6" t="s">
        <v>3320</v>
      </c>
      <c r="N4362" s="6" t="s">
        <v>21</v>
      </c>
      <c r="O4362" s="6" t="s">
        <v>22</v>
      </c>
    </row>
    <row r="4363" spans="1:15" hidden="1">
      <c r="A4363" s="6" t="s">
        <v>15</v>
      </c>
      <c r="B4363" s="6" t="str">
        <f>"FES1162692836"</f>
        <v>FES1162692836</v>
      </c>
      <c r="C4363" s="7">
        <v>43616</v>
      </c>
      <c r="D4363" s="6">
        <v>1</v>
      </c>
      <c r="E4363" s="6">
        <v>2170691122</v>
      </c>
      <c r="F4363" s="6" t="s">
        <v>16</v>
      </c>
      <c r="G4363" s="6" t="s">
        <v>17</v>
      </c>
      <c r="H4363" s="6" t="s">
        <v>32</v>
      </c>
      <c r="I4363" s="6" t="s">
        <v>33</v>
      </c>
      <c r="J4363" s="6" t="s">
        <v>2108</v>
      </c>
      <c r="K4363" s="7">
        <v>43619</v>
      </c>
      <c r="L4363" s="8">
        <v>0.39305555555555555</v>
      </c>
      <c r="M4363" s="6" t="s">
        <v>88</v>
      </c>
      <c r="N4363" s="6" t="s">
        <v>21</v>
      </c>
      <c r="O4363" s="6" t="s">
        <v>22</v>
      </c>
    </row>
    <row r="4364" spans="1:15" hidden="1">
      <c r="A4364" s="6" t="s">
        <v>15</v>
      </c>
      <c r="B4364" s="6" t="str">
        <f>"FES1162692849"</f>
        <v>FES1162692849</v>
      </c>
      <c r="C4364" s="7">
        <v>43616</v>
      </c>
      <c r="D4364" s="6">
        <v>1</v>
      </c>
      <c r="E4364" s="6">
        <v>2170689706</v>
      </c>
      <c r="F4364" s="6" t="s">
        <v>16</v>
      </c>
      <c r="G4364" s="6" t="s">
        <v>17</v>
      </c>
      <c r="H4364" s="6" t="s">
        <v>141</v>
      </c>
      <c r="I4364" s="6" t="s">
        <v>142</v>
      </c>
      <c r="J4364" s="6" t="s">
        <v>976</v>
      </c>
      <c r="K4364" s="7">
        <v>43619</v>
      </c>
      <c r="L4364" s="8">
        <v>0.34722222222222227</v>
      </c>
      <c r="M4364" s="6" t="s">
        <v>4933</v>
      </c>
      <c r="N4364" s="6" t="s">
        <v>21</v>
      </c>
      <c r="O4364" s="6" t="s">
        <v>22</v>
      </c>
    </row>
    <row r="4365" spans="1:15" hidden="1">
      <c r="A4365" s="6" t="s">
        <v>15</v>
      </c>
      <c r="B4365" s="6" t="str">
        <f>"FES1162692848"</f>
        <v>FES1162692848</v>
      </c>
      <c r="C4365" s="7">
        <v>43616</v>
      </c>
      <c r="D4365" s="6">
        <v>1</v>
      </c>
      <c r="E4365" s="6">
        <v>2170689704</v>
      </c>
      <c r="F4365" s="6" t="s">
        <v>16</v>
      </c>
      <c r="G4365" s="6" t="s">
        <v>17</v>
      </c>
      <c r="H4365" s="6" t="s">
        <v>141</v>
      </c>
      <c r="I4365" s="6" t="s">
        <v>142</v>
      </c>
      <c r="J4365" s="6" t="s">
        <v>976</v>
      </c>
      <c r="K4365" s="7">
        <v>43619</v>
      </c>
      <c r="L4365" s="8">
        <v>0.34722222222222227</v>
      </c>
      <c r="M4365" s="6" t="s">
        <v>4933</v>
      </c>
      <c r="N4365" s="6" t="s">
        <v>21</v>
      </c>
      <c r="O4365" s="6" t="s">
        <v>22</v>
      </c>
    </row>
    <row r="4366" spans="1:15" hidden="1">
      <c r="A4366" s="6" t="s">
        <v>15</v>
      </c>
      <c r="B4366" s="6" t="str">
        <f>"FES1162692878"</f>
        <v>FES1162692878</v>
      </c>
      <c r="C4366" s="7">
        <v>43616</v>
      </c>
      <c r="D4366" s="6">
        <v>1</v>
      </c>
      <c r="E4366" s="6">
        <v>2170691137</v>
      </c>
      <c r="F4366" s="6" t="s">
        <v>16</v>
      </c>
      <c r="G4366" s="6" t="s">
        <v>17</v>
      </c>
      <c r="H4366" s="6" t="s">
        <v>32</v>
      </c>
      <c r="I4366" s="6" t="s">
        <v>33</v>
      </c>
      <c r="J4366" s="6" t="s">
        <v>360</v>
      </c>
      <c r="K4366" s="7">
        <v>43619</v>
      </c>
      <c r="L4366" s="8">
        <v>0.37152777777777773</v>
      </c>
      <c r="M4366" s="6" t="s">
        <v>1727</v>
      </c>
      <c r="N4366" s="6" t="s">
        <v>21</v>
      </c>
      <c r="O4366" s="6" t="s">
        <v>22</v>
      </c>
    </row>
    <row r="4367" spans="1:15" hidden="1">
      <c r="A4367" s="6" t="s">
        <v>15</v>
      </c>
      <c r="B4367" s="6" t="str">
        <f>"FES1162692825"</f>
        <v>FES1162692825</v>
      </c>
      <c r="C4367" s="7">
        <v>43616</v>
      </c>
      <c r="D4367" s="6">
        <v>1</v>
      </c>
      <c r="E4367" s="6">
        <v>2170690917</v>
      </c>
      <c r="F4367" s="6" t="s">
        <v>16</v>
      </c>
      <c r="G4367" s="6" t="s">
        <v>17</v>
      </c>
      <c r="H4367" s="6" t="s">
        <v>141</v>
      </c>
      <c r="I4367" s="6" t="s">
        <v>185</v>
      </c>
      <c r="J4367" s="6" t="s">
        <v>515</v>
      </c>
      <c r="K4367" s="7">
        <v>43619</v>
      </c>
      <c r="L4367" s="8">
        <v>0.35694444444444445</v>
      </c>
      <c r="M4367" s="6" t="s">
        <v>4934</v>
      </c>
      <c r="N4367" s="6" t="s">
        <v>21</v>
      </c>
      <c r="O4367" s="6" t="s">
        <v>22</v>
      </c>
    </row>
    <row r="4368" spans="1:15" hidden="1">
      <c r="A4368" s="6" t="s">
        <v>15</v>
      </c>
      <c r="B4368" s="6" t="str">
        <f>"FES1162692800"</f>
        <v>FES1162692800</v>
      </c>
      <c r="C4368" s="7">
        <v>43616</v>
      </c>
      <c r="D4368" s="6">
        <v>1</v>
      </c>
      <c r="E4368" s="6">
        <v>2170685259</v>
      </c>
      <c r="F4368" s="6" t="s">
        <v>58</v>
      </c>
      <c r="G4368" s="6" t="s">
        <v>59</v>
      </c>
      <c r="H4368" s="6" t="s">
        <v>132</v>
      </c>
      <c r="I4368" s="6" t="s">
        <v>133</v>
      </c>
      <c r="J4368" s="6" t="s">
        <v>189</v>
      </c>
      <c r="K4368" s="7">
        <v>43619</v>
      </c>
      <c r="L4368" s="8">
        <v>0.42708333333333331</v>
      </c>
      <c r="M4368" s="6" t="s">
        <v>585</v>
      </c>
      <c r="N4368" s="6" t="s">
        <v>21</v>
      </c>
      <c r="O4368" s="6" t="s">
        <v>22</v>
      </c>
    </row>
    <row r="4369" spans="1:15" hidden="1">
      <c r="A4369" s="6" t="s">
        <v>15</v>
      </c>
      <c r="B4369" s="6" t="str">
        <f>"FES1162692950"</f>
        <v>FES1162692950</v>
      </c>
      <c r="C4369" s="7">
        <v>43616</v>
      </c>
      <c r="D4369" s="6">
        <v>1</v>
      </c>
      <c r="E4369" s="6">
        <v>2170691223</v>
      </c>
      <c r="F4369" s="6" t="s">
        <v>16</v>
      </c>
      <c r="G4369" s="6" t="s">
        <v>17</v>
      </c>
      <c r="H4369" s="6" t="s">
        <v>43</v>
      </c>
      <c r="I4369" s="6" t="s">
        <v>44</v>
      </c>
      <c r="J4369" s="6" t="s">
        <v>748</v>
      </c>
      <c r="K4369" s="7">
        <v>43619</v>
      </c>
      <c r="L4369" s="8">
        <v>0.3666666666666667</v>
      </c>
      <c r="M4369" s="6" t="s">
        <v>4935</v>
      </c>
      <c r="N4369" s="6" t="s">
        <v>21</v>
      </c>
      <c r="O4369" s="6" t="s">
        <v>22</v>
      </c>
    </row>
    <row r="4370" spans="1:15">
      <c r="A4370" s="6" t="s">
        <v>15</v>
      </c>
      <c r="B4370" s="6" t="str">
        <f>"FES1162692893"</f>
        <v>FES1162692893</v>
      </c>
      <c r="C4370" s="7">
        <v>43616</v>
      </c>
      <c r="D4370" s="6">
        <v>1</v>
      </c>
      <c r="E4370" s="6">
        <v>2170691155</v>
      </c>
      <c r="F4370" s="6" t="s">
        <v>16</v>
      </c>
      <c r="G4370" s="6" t="s">
        <v>17</v>
      </c>
      <c r="H4370" s="6" t="s">
        <v>17</v>
      </c>
      <c r="I4370" s="6" t="s">
        <v>84</v>
      </c>
      <c r="J4370" s="6" t="s">
        <v>1459</v>
      </c>
      <c r="K4370" s="7">
        <v>43619</v>
      </c>
      <c r="L4370" s="8">
        <v>0.33333333333333331</v>
      </c>
      <c r="M4370" s="6" t="s">
        <v>100</v>
      </c>
      <c r="N4370" s="6" t="s">
        <v>21</v>
      </c>
      <c r="O4370" s="6" t="s">
        <v>22</v>
      </c>
    </row>
    <row r="4371" spans="1:15" hidden="1">
      <c r="A4371" s="6" t="s">
        <v>15</v>
      </c>
      <c r="B4371" s="6" t="str">
        <f>"FES1162692955"</f>
        <v>FES1162692955</v>
      </c>
      <c r="C4371" s="7">
        <v>43616</v>
      </c>
      <c r="D4371" s="6">
        <v>1</v>
      </c>
      <c r="E4371" s="6">
        <v>2170691232</v>
      </c>
      <c r="F4371" s="6" t="s">
        <v>16</v>
      </c>
      <c r="G4371" s="6" t="s">
        <v>17</v>
      </c>
      <c r="H4371" s="6" t="s">
        <v>141</v>
      </c>
      <c r="I4371" s="6" t="s">
        <v>185</v>
      </c>
      <c r="J4371" s="6" t="s">
        <v>1011</v>
      </c>
      <c r="K4371" s="7">
        <v>43619</v>
      </c>
      <c r="L4371" s="8">
        <v>0.34375</v>
      </c>
      <c r="M4371" s="6" t="s">
        <v>1012</v>
      </c>
      <c r="N4371" s="6" t="s">
        <v>21</v>
      </c>
      <c r="O4371" s="6" t="s">
        <v>22</v>
      </c>
    </row>
    <row r="4372" spans="1:15">
      <c r="A4372" s="6" t="s">
        <v>15</v>
      </c>
      <c r="B4372" s="6" t="str">
        <f>"FES1162692912"</f>
        <v>FES1162692912</v>
      </c>
      <c r="C4372" s="7">
        <v>43616</v>
      </c>
      <c r="D4372" s="6">
        <v>1</v>
      </c>
      <c r="E4372" s="6">
        <v>2170691175</v>
      </c>
      <c r="F4372" s="6" t="s">
        <v>16</v>
      </c>
      <c r="G4372" s="6" t="s">
        <v>17</v>
      </c>
      <c r="H4372" s="6" t="s">
        <v>17</v>
      </c>
      <c r="I4372" s="6" t="s">
        <v>18</v>
      </c>
      <c r="J4372" s="6" t="s">
        <v>19</v>
      </c>
      <c r="K4372" s="7">
        <v>43619</v>
      </c>
      <c r="L4372" s="8">
        <v>0.36249999999999999</v>
      </c>
      <c r="M4372" s="6" t="s">
        <v>167</v>
      </c>
      <c r="N4372" s="6" t="s">
        <v>21</v>
      </c>
      <c r="O4372" s="6" t="s">
        <v>22</v>
      </c>
    </row>
    <row r="4373" spans="1:15">
      <c r="A4373" s="6" t="s">
        <v>15</v>
      </c>
      <c r="B4373" s="6" t="str">
        <f>"FES1162692903"</f>
        <v>FES1162692903</v>
      </c>
      <c r="C4373" s="7">
        <v>43616</v>
      </c>
      <c r="D4373" s="6">
        <v>1</v>
      </c>
      <c r="E4373" s="6">
        <v>2170690632</v>
      </c>
      <c r="F4373" s="6" t="s">
        <v>16</v>
      </c>
      <c r="G4373" s="6" t="s">
        <v>17</v>
      </c>
      <c r="H4373" s="6" t="s">
        <v>17</v>
      </c>
      <c r="I4373" s="6" t="s">
        <v>64</v>
      </c>
      <c r="J4373" s="6" t="s">
        <v>4643</v>
      </c>
      <c r="K4373" s="7">
        <v>43619</v>
      </c>
      <c r="L4373" s="8">
        <v>0.37291666666666662</v>
      </c>
      <c r="M4373" s="6" t="s">
        <v>4936</v>
      </c>
      <c r="N4373" s="6" t="s">
        <v>21</v>
      </c>
      <c r="O4373" s="6" t="s">
        <v>22</v>
      </c>
    </row>
    <row r="4374" spans="1:15" hidden="1">
      <c r="A4374" s="6" t="s">
        <v>15</v>
      </c>
      <c r="B4374" s="6" t="str">
        <f>"FES1162692891"</f>
        <v>FES1162692891</v>
      </c>
      <c r="C4374" s="7">
        <v>43616</v>
      </c>
      <c r="D4374" s="6">
        <v>1</v>
      </c>
      <c r="E4374" s="6">
        <v>2170691153</v>
      </c>
      <c r="F4374" s="6" t="s">
        <v>1433</v>
      </c>
      <c r="G4374" s="6" t="s">
        <v>59</v>
      </c>
      <c r="H4374" s="6" t="s">
        <v>59</v>
      </c>
      <c r="I4374" s="6" t="s">
        <v>84</v>
      </c>
      <c r="J4374" s="6" t="s">
        <v>1459</v>
      </c>
      <c r="K4374" s="7">
        <v>43619</v>
      </c>
      <c r="L4374" s="8">
        <v>0.33333333333333331</v>
      </c>
      <c r="M4374" s="6" t="s">
        <v>100</v>
      </c>
      <c r="N4374" s="6" t="s">
        <v>21</v>
      </c>
      <c r="O4374" s="6" t="s">
        <v>22</v>
      </c>
    </row>
    <row r="4375" spans="1:15" hidden="1">
      <c r="A4375" s="6" t="s">
        <v>15</v>
      </c>
      <c r="B4375" s="6" t="str">
        <f>"FES1162692942"</f>
        <v>FES1162692942</v>
      </c>
      <c r="C4375" s="7">
        <v>43616</v>
      </c>
      <c r="D4375" s="6">
        <v>1</v>
      </c>
      <c r="E4375" s="6">
        <v>2170691152</v>
      </c>
      <c r="F4375" s="6" t="s">
        <v>58</v>
      </c>
      <c r="G4375" s="6" t="s">
        <v>59</v>
      </c>
      <c r="H4375" s="6" t="s">
        <v>59</v>
      </c>
      <c r="I4375" s="6" t="s">
        <v>67</v>
      </c>
      <c r="J4375" s="6" t="s">
        <v>1455</v>
      </c>
      <c r="K4375" s="7">
        <v>43619</v>
      </c>
      <c r="L4375" s="8">
        <v>0.33333333333333331</v>
      </c>
      <c r="M4375" s="6" t="s">
        <v>1456</v>
      </c>
      <c r="N4375" s="6" t="s">
        <v>21</v>
      </c>
      <c r="O4375" s="6" t="s">
        <v>22</v>
      </c>
    </row>
    <row r="4376" spans="1:15" hidden="1">
      <c r="A4376" s="6" t="s">
        <v>15</v>
      </c>
      <c r="B4376" s="6" t="str">
        <f>"FES1162692892"</f>
        <v>FES1162692892</v>
      </c>
      <c r="C4376" s="7">
        <v>43616</v>
      </c>
      <c r="D4376" s="6">
        <v>1</v>
      </c>
      <c r="E4376" s="6">
        <v>2170691154</v>
      </c>
      <c r="F4376" s="6" t="s">
        <v>1433</v>
      </c>
      <c r="G4376" s="6" t="s">
        <v>59</v>
      </c>
      <c r="H4376" s="6" t="s">
        <v>59</v>
      </c>
      <c r="I4376" s="6" t="s">
        <v>720</v>
      </c>
      <c r="J4376" s="6" t="s">
        <v>721</v>
      </c>
      <c r="K4376" s="7">
        <v>43619</v>
      </c>
      <c r="L4376" s="8">
        <v>0.4375</v>
      </c>
      <c r="M4376" s="6" t="s">
        <v>2328</v>
      </c>
      <c r="N4376" s="6" t="s">
        <v>21</v>
      </c>
      <c r="O4376" s="6" t="s">
        <v>22</v>
      </c>
    </row>
    <row r="4377" spans="1:15" hidden="1">
      <c r="A4377" s="6" t="s">
        <v>15</v>
      </c>
      <c r="B4377" s="6" t="str">
        <f>"FES1162692969"</f>
        <v>FES1162692969</v>
      </c>
      <c r="C4377" s="7">
        <v>43616</v>
      </c>
      <c r="D4377" s="6">
        <v>1</v>
      </c>
      <c r="E4377" s="6">
        <v>2170688672</v>
      </c>
      <c r="F4377" s="6" t="s">
        <v>16</v>
      </c>
      <c r="G4377" s="6" t="s">
        <v>17</v>
      </c>
      <c r="H4377" s="6" t="s">
        <v>43</v>
      </c>
      <c r="I4377" s="6" t="s">
        <v>75</v>
      </c>
      <c r="J4377" s="6" t="s">
        <v>811</v>
      </c>
      <c r="K4377" s="7">
        <v>43619</v>
      </c>
      <c r="L4377" s="8">
        <v>0.48680555555555555</v>
      </c>
      <c r="M4377" s="6" t="s">
        <v>1167</v>
      </c>
      <c r="N4377" s="6" t="s">
        <v>21</v>
      </c>
      <c r="O4377" s="6" t="s">
        <v>22</v>
      </c>
    </row>
    <row r="4378" spans="1:15" hidden="1">
      <c r="A4378" s="6" t="s">
        <v>15</v>
      </c>
      <c r="B4378" s="6" t="str">
        <f>"FES1162692928"</f>
        <v>FES1162692928</v>
      </c>
      <c r="C4378" s="7">
        <v>43616</v>
      </c>
      <c r="D4378" s="6">
        <v>1</v>
      </c>
      <c r="E4378" s="6">
        <v>2170691199</v>
      </c>
      <c r="F4378" s="6" t="s">
        <v>58</v>
      </c>
      <c r="G4378" s="6" t="s">
        <v>59</v>
      </c>
      <c r="H4378" s="6" t="s">
        <v>2986</v>
      </c>
      <c r="I4378" s="6" t="s">
        <v>309</v>
      </c>
      <c r="J4378" s="6" t="s">
        <v>310</v>
      </c>
      <c r="K4378" s="7">
        <v>43619</v>
      </c>
      <c r="L4378" s="8">
        <v>0.38541666666666669</v>
      </c>
      <c r="M4378" s="6" t="s">
        <v>311</v>
      </c>
      <c r="N4378" s="6" t="s">
        <v>21</v>
      </c>
      <c r="O4378" s="6" t="s">
        <v>22</v>
      </c>
    </row>
    <row r="4379" spans="1:15" hidden="1">
      <c r="A4379" s="6" t="s">
        <v>15</v>
      </c>
      <c r="B4379" s="6" t="str">
        <f>"FES1162692951"</f>
        <v>FES1162692951</v>
      </c>
      <c r="C4379" s="7">
        <v>43616</v>
      </c>
      <c r="D4379" s="6">
        <v>1</v>
      </c>
      <c r="E4379" s="6">
        <v>2170691224</v>
      </c>
      <c r="F4379" s="6" t="s">
        <v>16</v>
      </c>
      <c r="G4379" s="6" t="s">
        <v>17</v>
      </c>
      <c r="H4379" s="6" t="s">
        <v>141</v>
      </c>
      <c r="I4379" s="6" t="s">
        <v>142</v>
      </c>
      <c r="J4379" s="6" t="s">
        <v>213</v>
      </c>
      <c r="K4379" s="7">
        <v>43619</v>
      </c>
      <c r="L4379" s="8">
        <v>0.37152777777777773</v>
      </c>
      <c r="M4379" s="6" t="s">
        <v>214</v>
      </c>
      <c r="N4379" s="6" t="s">
        <v>21</v>
      </c>
      <c r="O4379" s="6" t="s">
        <v>22</v>
      </c>
    </row>
    <row r="4380" spans="1:15" hidden="1">
      <c r="A4380" s="6" t="s">
        <v>15</v>
      </c>
      <c r="B4380" s="6" t="str">
        <f>"FES1162692953"</f>
        <v>FES1162692953</v>
      </c>
      <c r="C4380" s="7">
        <v>43616</v>
      </c>
      <c r="D4380" s="6">
        <v>1</v>
      </c>
      <c r="E4380" s="6">
        <v>2170691227</v>
      </c>
      <c r="F4380" s="6" t="s">
        <v>16</v>
      </c>
      <c r="G4380" s="6" t="s">
        <v>17</v>
      </c>
      <c r="H4380" s="6" t="s">
        <v>141</v>
      </c>
      <c r="I4380" s="6" t="s">
        <v>185</v>
      </c>
      <c r="J4380" s="6" t="s">
        <v>1499</v>
      </c>
      <c r="K4380" s="7">
        <v>43619</v>
      </c>
      <c r="L4380" s="8">
        <v>0.43055555555555558</v>
      </c>
      <c r="M4380" s="6" t="s">
        <v>1500</v>
      </c>
      <c r="N4380" s="6" t="s">
        <v>21</v>
      </c>
      <c r="O4380" s="6" t="s">
        <v>22</v>
      </c>
    </row>
    <row r="4381" spans="1:15" hidden="1">
      <c r="A4381" s="27" t="s">
        <v>15</v>
      </c>
      <c r="B4381" s="27" t="str">
        <f>"FES1162692956"</f>
        <v>FES1162692956</v>
      </c>
      <c r="C4381" s="28">
        <v>43616</v>
      </c>
      <c r="D4381" s="27">
        <v>1</v>
      </c>
      <c r="E4381" s="27">
        <v>2170691234</v>
      </c>
      <c r="F4381" s="27" t="s">
        <v>16</v>
      </c>
      <c r="G4381" s="27" t="s">
        <v>17</v>
      </c>
      <c r="H4381" s="27" t="s">
        <v>43</v>
      </c>
      <c r="I4381" s="27" t="s">
        <v>60</v>
      </c>
      <c r="J4381" s="27" t="s">
        <v>242</v>
      </c>
      <c r="K4381" s="27" t="s">
        <v>1730</v>
      </c>
      <c r="L4381" s="27"/>
      <c r="M4381" s="27" t="s">
        <v>1731</v>
      </c>
      <c r="N4381" s="27" t="s">
        <v>4912</v>
      </c>
      <c r="O4381" s="27" t="s">
        <v>22</v>
      </c>
    </row>
    <row r="4382" spans="1:15">
      <c r="A4382" s="6" t="s">
        <v>15</v>
      </c>
      <c r="B4382" s="6" t="str">
        <f>"FES1162692840"</f>
        <v>FES1162692840</v>
      </c>
      <c r="C4382" s="7">
        <v>43616</v>
      </c>
      <c r="D4382" s="6">
        <v>1</v>
      </c>
      <c r="E4382" s="6">
        <v>2170688170</v>
      </c>
      <c r="F4382" s="6" t="s">
        <v>16</v>
      </c>
      <c r="G4382" s="6" t="s">
        <v>17</v>
      </c>
      <c r="H4382" s="6" t="s">
        <v>17</v>
      </c>
      <c r="I4382" s="6" t="s">
        <v>64</v>
      </c>
      <c r="J4382" s="6" t="s">
        <v>1628</v>
      </c>
      <c r="K4382" s="7">
        <v>43619</v>
      </c>
      <c r="L4382" s="8">
        <v>0.39097222222222222</v>
      </c>
      <c r="M4382" s="6" t="s">
        <v>4937</v>
      </c>
      <c r="N4382" s="6" t="s">
        <v>21</v>
      </c>
      <c r="O4382" s="6" t="s">
        <v>22</v>
      </c>
    </row>
    <row r="4383" spans="1:15">
      <c r="A4383" s="6" t="s">
        <v>15</v>
      </c>
      <c r="B4383" s="6" t="str">
        <f>"FES1162692910"</f>
        <v>FES1162692910</v>
      </c>
      <c r="C4383" s="7">
        <v>43616</v>
      </c>
      <c r="D4383" s="6">
        <v>1</v>
      </c>
      <c r="E4383" s="6">
        <v>2170691173</v>
      </c>
      <c r="F4383" s="6" t="s">
        <v>16</v>
      </c>
      <c r="G4383" s="6" t="s">
        <v>17</v>
      </c>
      <c r="H4383" s="6" t="s">
        <v>17</v>
      </c>
      <c r="I4383" s="6" t="s">
        <v>18</v>
      </c>
      <c r="J4383" s="6" t="s">
        <v>160</v>
      </c>
      <c r="K4383" s="7">
        <v>43619</v>
      </c>
      <c r="L4383" s="8">
        <v>0.35069444444444442</v>
      </c>
      <c r="M4383" s="6" t="s">
        <v>2660</v>
      </c>
      <c r="N4383" s="6" t="s">
        <v>21</v>
      </c>
      <c r="O4383" s="6" t="s">
        <v>22</v>
      </c>
    </row>
    <row r="4384" spans="1:15">
      <c r="A4384" s="6" t="s">
        <v>15</v>
      </c>
      <c r="B4384" s="6" t="str">
        <f>"FES1162692904"</f>
        <v>FES1162692904</v>
      </c>
      <c r="C4384" s="7">
        <v>43616</v>
      </c>
      <c r="D4384" s="6">
        <v>1</v>
      </c>
      <c r="E4384" s="6">
        <v>2170691133</v>
      </c>
      <c r="F4384" s="6" t="s">
        <v>16</v>
      </c>
      <c r="G4384" s="6" t="s">
        <v>17</v>
      </c>
      <c r="H4384" s="6" t="s">
        <v>17</v>
      </c>
      <c r="I4384" s="6" t="s">
        <v>23</v>
      </c>
      <c r="J4384" s="6" t="s">
        <v>4938</v>
      </c>
      <c r="K4384" s="7">
        <v>43619</v>
      </c>
      <c r="L4384" s="8">
        <v>0.34513888888888888</v>
      </c>
      <c r="M4384" s="6" t="s">
        <v>4939</v>
      </c>
      <c r="N4384" s="6" t="s">
        <v>21</v>
      </c>
      <c r="O4384" s="6" t="s">
        <v>22</v>
      </c>
    </row>
    <row r="4385" spans="1:15">
      <c r="A4385" s="6" t="s">
        <v>15</v>
      </c>
      <c r="B4385" s="6" t="str">
        <f>"FES1162692905"</f>
        <v>FES1162692905</v>
      </c>
      <c r="C4385" s="7">
        <v>43616</v>
      </c>
      <c r="D4385" s="6">
        <v>1</v>
      </c>
      <c r="E4385" s="6">
        <v>2170691165</v>
      </c>
      <c r="F4385" s="6" t="s">
        <v>16</v>
      </c>
      <c r="G4385" s="6" t="s">
        <v>17</v>
      </c>
      <c r="H4385" s="6" t="s">
        <v>17</v>
      </c>
      <c r="I4385" s="6" t="s">
        <v>18</v>
      </c>
      <c r="J4385" s="6" t="s">
        <v>19</v>
      </c>
      <c r="K4385" s="7">
        <v>43619</v>
      </c>
      <c r="L4385" s="8">
        <v>0.36249999999999999</v>
      </c>
      <c r="M4385" s="6" t="s">
        <v>325</v>
      </c>
      <c r="N4385" s="6" t="s">
        <v>21</v>
      </c>
      <c r="O4385" s="6" t="s">
        <v>22</v>
      </c>
    </row>
    <row r="4386" spans="1:15">
      <c r="A4386" s="6" t="s">
        <v>15</v>
      </c>
      <c r="B4386" s="6" t="str">
        <f>"FES1162692896"</f>
        <v>FES1162692896</v>
      </c>
      <c r="C4386" s="7">
        <v>43616</v>
      </c>
      <c r="D4386" s="6">
        <v>1</v>
      </c>
      <c r="E4386" s="6">
        <v>2170691159</v>
      </c>
      <c r="F4386" s="6" t="s">
        <v>16</v>
      </c>
      <c r="G4386" s="6" t="s">
        <v>17</v>
      </c>
      <c r="H4386" s="6" t="s">
        <v>17</v>
      </c>
      <c r="I4386" s="6" t="s">
        <v>18</v>
      </c>
      <c r="J4386" s="6" t="s">
        <v>4940</v>
      </c>
      <c r="K4386" s="7">
        <v>43619</v>
      </c>
      <c r="L4386" s="8">
        <v>0.33333333333333331</v>
      </c>
      <c r="M4386" s="6" t="s">
        <v>4941</v>
      </c>
      <c r="N4386" s="6" t="s">
        <v>21</v>
      </c>
      <c r="O4386" s="6" t="s">
        <v>22</v>
      </c>
    </row>
    <row r="4387" spans="1:15" hidden="1">
      <c r="A4387" s="6" t="s">
        <v>15</v>
      </c>
      <c r="B4387" s="6" t="str">
        <f>"009935723278"</f>
        <v>009935723278</v>
      </c>
      <c r="C4387" s="7">
        <v>43616</v>
      </c>
      <c r="D4387" s="6">
        <v>1</v>
      </c>
      <c r="E4387" s="6">
        <v>1162689859</v>
      </c>
      <c r="F4387" s="6" t="s">
        <v>16</v>
      </c>
      <c r="G4387" s="6" t="s">
        <v>17</v>
      </c>
      <c r="H4387" s="6" t="s">
        <v>37</v>
      </c>
      <c r="I4387" s="6" t="s">
        <v>38</v>
      </c>
      <c r="J4387" s="6" t="s">
        <v>766</v>
      </c>
      <c r="K4387" s="7">
        <v>43619</v>
      </c>
      <c r="L4387" s="8">
        <v>0.35625000000000001</v>
      </c>
      <c r="M4387" s="6" t="s">
        <v>1097</v>
      </c>
      <c r="N4387" s="6" t="s">
        <v>21</v>
      </c>
      <c r="O4387" s="6" t="s">
        <v>22</v>
      </c>
    </row>
    <row r="4388" spans="1:15">
      <c r="A4388" s="6" t="s">
        <v>15</v>
      </c>
      <c r="B4388" s="6" t="str">
        <f>"FES1162692923"</f>
        <v>FES1162692923</v>
      </c>
      <c r="C4388" s="7">
        <v>43616</v>
      </c>
      <c r="D4388" s="6">
        <v>1</v>
      </c>
      <c r="E4388" s="6">
        <v>2170691198</v>
      </c>
      <c r="F4388" s="6" t="s">
        <v>16</v>
      </c>
      <c r="G4388" s="6" t="s">
        <v>17</v>
      </c>
      <c r="H4388" s="6" t="s">
        <v>17</v>
      </c>
      <c r="I4388" s="6" t="s">
        <v>103</v>
      </c>
      <c r="J4388" s="6" t="s">
        <v>4942</v>
      </c>
      <c r="K4388" s="7">
        <v>43619</v>
      </c>
      <c r="L4388" s="8">
        <v>0.32083333333333336</v>
      </c>
      <c r="M4388" s="6" t="s">
        <v>4943</v>
      </c>
      <c r="N4388" s="6" t="s">
        <v>21</v>
      </c>
      <c r="O4388" s="6" t="s">
        <v>22</v>
      </c>
    </row>
    <row r="4389" spans="1:15">
      <c r="A4389" s="6" t="s">
        <v>15</v>
      </c>
      <c r="B4389" s="6" t="str">
        <f>"FES1162692894"</f>
        <v>FES1162692894</v>
      </c>
      <c r="C4389" s="7">
        <v>43616</v>
      </c>
      <c r="D4389" s="6">
        <v>1</v>
      </c>
      <c r="E4389" s="6">
        <v>2170691157</v>
      </c>
      <c r="F4389" s="6" t="s">
        <v>16</v>
      </c>
      <c r="G4389" s="6" t="s">
        <v>17</v>
      </c>
      <c r="H4389" s="6" t="s">
        <v>17</v>
      </c>
      <c r="I4389" s="6" t="s">
        <v>26</v>
      </c>
      <c r="J4389" s="6" t="s">
        <v>3882</v>
      </c>
      <c r="K4389" s="7">
        <v>43619</v>
      </c>
      <c r="L4389" s="8">
        <v>0.33333333333333331</v>
      </c>
      <c r="M4389" s="6" t="s">
        <v>3744</v>
      </c>
      <c r="N4389" s="6" t="s">
        <v>21</v>
      </c>
      <c r="O4389" s="6" t="s">
        <v>22</v>
      </c>
    </row>
    <row r="4390" spans="1:15">
      <c r="A4390" s="6" t="s">
        <v>15</v>
      </c>
      <c r="B4390" s="6" t="str">
        <f>"FES1162692897"</f>
        <v>FES1162692897</v>
      </c>
      <c r="C4390" s="7">
        <v>43616</v>
      </c>
      <c r="D4390" s="6">
        <v>1</v>
      </c>
      <c r="E4390" s="6">
        <v>2170691160</v>
      </c>
      <c r="F4390" s="6" t="s">
        <v>16</v>
      </c>
      <c r="G4390" s="6" t="s">
        <v>17</v>
      </c>
      <c r="H4390" s="6" t="s">
        <v>17</v>
      </c>
      <c r="I4390" s="6" t="s">
        <v>26</v>
      </c>
      <c r="J4390" s="6" t="s">
        <v>1383</v>
      </c>
      <c r="K4390" s="7">
        <v>43619</v>
      </c>
      <c r="L4390" s="8">
        <v>0.42638888888888887</v>
      </c>
      <c r="M4390" s="6" t="s">
        <v>2663</v>
      </c>
      <c r="N4390" s="6" t="s">
        <v>21</v>
      </c>
      <c r="O4390" s="6" t="s">
        <v>22</v>
      </c>
    </row>
    <row r="4391" spans="1:15">
      <c r="A4391" s="6" t="s">
        <v>15</v>
      </c>
      <c r="B4391" s="6" t="str">
        <f>"FES1162692947"</f>
        <v>FES1162692947</v>
      </c>
      <c r="C4391" s="7">
        <v>43616</v>
      </c>
      <c r="D4391" s="6">
        <v>1</v>
      </c>
      <c r="E4391" s="6">
        <v>2170691220</v>
      </c>
      <c r="F4391" s="6" t="s">
        <v>16</v>
      </c>
      <c r="G4391" s="6" t="s">
        <v>17</v>
      </c>
      <c r="H4391" s="6" t="s">
        <v>17</v>
      </c>
      <c r="I4391" s="6" t="s">
        <v>23</v>
      </c>
      <c r="J4391" s="6" t="s">
        <v>4944</v>
      </c>
      <c r="K4391" s="7">
        <v>43619</v>
      </c>
      <c r="L4391" s="8">
        <v>0.42152777777777778</v>
      </c>
      <c r="M4391" s="6" t="s">
        <v>4945</v>
      </c>
      <c r="N4391" s="6" t="s">
        <v>21</v>
      </c>
      <c r="O4391" s="6" t="s">
        <v>22</v>
      </c>
    </row>
    <row r="4392" spans="1:15">
      <c r="A4392" s="6" t="s">
        <v>15</v>
      </c>
      <c r="B4392" s="6" t="str">
        <f>"FES1162692946"</f>
        <v>FES1162692946</v>
      </c>
      <c r="C4392" s="7">
        <v>43616</v>
      </c>
      <c r="D4392" s="6">
        <v>1</v>
      </c>
      <c r="E4392" s="6">
        <v>2170691218</v>
      </c>
      <c r="F4392" s="6" t="s">
        <v>16</v>
      </c>
      <c r="G4392" s="6" t="s">
        <v>17</v>
      </c>
      <c r="H4392" s="6" t="s">
        <v>17</v>
      </c>
      <c r="I4392" s="6" t="s">
        <v>64</v>
      </c>
      <c r="J4392" s="6" t="s">
        <v>2379</v>
      </c>
      <c r="K4392" s="7">
        <v>43619</v>
      </c>
      <c r="L4392" s="8">
        <v>0.44930555555555557</v>
      </c>
      <c r="M4392" s="6" t="s">
        <v>4946</v>
      </c>
      <c r="N4392" s="6" t="s">
        <v>21</v>
      </c>
      <c r="O4392" s="6" t="s">
        <v>22</v>
      </c>
    </row>
    <row r="4393" spans="1:15">
      <c r="A4393" s="6" t="s">
        <v>15</v>
      </c>
      <c r="B4393" s="6" t="str">
        <f>"FES1162692921"</f>
        <v>FES1162692921</v>
      </c>
      <c r="C4393" s="7">
        <v>43616</v>
      </c>
      <c r="D4393" s="6">
        <v>1</v>
      </c>
      <c r="E4393" s="6">
        <v>2170691195</v>
      </c>
      <c r="F4393" s="6" t="s">
        <v>16</v>
      </c>
      <c r="G4393" s="6" t="s">
        <v>17</v>
      </c>
      <c r="H4393" s="6" t="s">
        <v>17</v>
      </c>
      <c r="I4393" s="6" t="s">
        <v>18</v>
      </c>
      <c r="J4393" s="6" t="s">
        <v>19</v>
      </c>
      <c r="K4393" s="7">
        <v>43619</v>
      </c>
      <c r="L4393" s="8">
        <v>0.36249999999999999</v>
      </c>
      <c r="M4393" s="6" t="s">
        <v>325</v>
      </c>
      <c r="N4393" s="6" t="s">
        <v>21</v>
      </c>
      <c r="O4393" s="6" t="s">
        <v>22</v>
      </c>
    </row>
    <row r="4394" spans="1:15" hidden="1">
      <c r="A4394" s="6" t="s">
        <v>15</v>
      </c>
      <c r="B4394" s="6" t="str">
        <f>"FES1162692974"</f>
        <v>FES1162692974</v>
      </c>
      <c r="C4394" s="7">
        <v>43616</v>
      </c>
      <c r="D4394" s="6">
        <v>1</v>
      </c>
      <c r="E4394" s="6">
        <v>2170689393</v>
      </c>
      <c r="F4394" s="6" t="s">
        <v>16</v>
      </c>
      <c r="G4394" s="6" t="s">
        <v>17</v>
      </c>
      <c r="H4394" s="6" t="s">
        <v>440</v>
      </c>
      <c r="I4394" s="6" t="s">
        <v>441</v>
      </c>
      <c r="J4394" s="6" t="s">
        <v>4947</v>
      </c>
      <c r="K4394" s="7">
        <v>43619</v>
      </c>
      <c r="L4394" s="8">
        <v>0.3923611111111111</v>
      </c>
      <c r="M4394" s="6" t="s">
        <v>3675</v>
      </c>
      <c r="N4394" s="6" t="s">
        <v>21</v>
      </c>
      <c r="O4394" s="6" t="s">
        <v>22</v>
      </c>
    </row>
    <row r="4395" spans="1:15" hidden="1">
      <c r="A4395" s="6" t="s">
        <v>15</v>
      </c>
      <c r="B4395" s="6" t="str">
        <f>"FES1162692963"</f>
        <v>FES1162692963</v>
      </c>
      <c r="C4395" s="7">
        <v>43616</v>
      </c>
      <c r="D4395" s="6">
        <v>1</v>
      </c>
      <c r="E4395" s="6">
        <v>2170684200</v>
      </c>
      <c r="F4395" s="6" t="s">
        <v>16</v>
      </c>
      <c r="G4395" s="6" t="s">
        <v>17</v>
      </c>
      <c r="H4395" s="6" t="s">
        <v>141</v>
      </c>
      <c r="I4395" s="6" t="s">
        <v>185</v>
      </c>
      <c r="J4395" s="6" t="s">
        <v>452</v>
      </c>
      <c r="K4395" s="7">
        <v>43619</v>
      </c>
      <c r="L4395" s="8">
        <v>0.41805555555555557</v>
      </c>
      <c r="M4395" s="6" t="s">
        <v>453</v>
      </c>
      <c r="N4395" s="6" t="s">
        <v>21</v>
      </c>
      <c r="O4395" s="6" t="s">
        <v>22</v>
      </c>
    </row>
    <row r="4396" spans="1:15" hidden="1">
      <c r="A4396" s="6" t="s">
        <v>15</v>
      </c>
      <c r="B4396" s="6" t="str">
        <f>"FES1162692971"</f>
        <v>FES1162692971</v>
      </c>
      <c r="C4396" s="7">
        <v>43616</v>
      </c>
      <c r="D4396" s="6">
        <v>1</v>
      </c>
      <c r="E4396" s="6">
        <v>2170688923</v>
      </c>
      <c r="F4396" s="6" t="s">
        <v>16</v>
      </c>
      <c r="G4396" s="6" t="s">
        <v>17</v>
      </c>
      <c r="H4396" s="6" t="s">
        <v>32</v>
      </c>
      <c r="I4396" s="6" t="s">
        <v>33</v>
      </c>
      <c r="J4396" s="6" t="s">
        <v>34</v>
      </c>
      <c r="K4396" s="7">
        <v>43619</v>
      </c>
      <c r="L4396" s="8">
        <v>0.34861111111111115</v>
      </c>
      <c r="M4396" s="6" t="s">
        <v>35</v>
      </c>
      <c r="N4396" s="6" t="s">
        <v>21</v>
      </c>
      <c r="O4396" s="6" t="s">
        <v>22</v>
      </c>
    </row>
    <row r="4397" spans="1:15" hidden="1">
      <c r="A4397" s="6" t="s">
        <v>15</v>
      </c>
      <c r="B4397" s="6" t="str">
        <f>"FES1162692967"</f>
        <v>FES1162692967</v>
      </c>
      <c r="C4397" s="7">
        <v>43616</v>
      </c>
      <c r="D4397" s="6">
        <v>1</v>
      </c>
      <c r="E4397" s="6">
        <v>2170686680</v>
      </c>
      <c r="F4397" s="6" t="s">
        <v>16</v>
      </c>
      <c r="G4397" s="6" t="s">
        <v>17</v>
      </c>
      <c r="H4397" s="6" t="s">
        <v>141</v>
      </c>
      <c r="I4397" s="6" t="s">
        <v>1451</v>
      </c>
      <c r="J4397" s="6" t="s">
        <v>3628</v>
      </c>
      <c r="K4397" s="7">
        <v>43619</v>
      </c>
      <c r="L4397" s="8">
        <v>0.40902777777777777</v>
      </c>
      <c r="M4397" s="6" t="s">
        <v>4948</v>
      </c>
      <c r="N4397" s="6" t="s">
        <v>21</v>
      </c>
      <c r="O4397" s="6" t="s">
        <v>22</v>
      </c>
    </row>
    <row r="4398" spans="1:15" hidden="1">
      <c r="A4398" s="6" t="s">
        <v>15</v>
      </c>
      <c r="B4398" s="6" t="str">
        <f>"FES1162692968"</f>
        <v>FES1162692968</v>
      </c>
      <c r="C4398" s="7">
        <v>43616</v>
      </c>
      <c r="D4398" s="6">
        <v>1</v>
      </c>
      <c r="E4398" s="6">
        <v>2170688083</v>
      </c>
      <c r="F4398" s="6" t="s">
        <v>16</v>
      </c>
      <c r="G4398" s="6" t="s">
        <v>17</v>
      </c>
      <c r="H4398" s="6" t="s">
        <v>32</v>
      </c>
      <c r="I4398" s="6" t="s">
        <v>342</v>
      </c>
      <c r="J4398" s="6" t="s">
        <v>343</v>
      </c>
      <c r="K4398" s="7">
        <v>43619</v>
      </c>
      <c r="L4398" s="8">
        <v>0.375</v>
      </c>
      <c r="M4398" s="6" t="s">
        <v>4949</v>
      </c>
      <c r="N4398" s="6" t="s">
        <v>21</v>
      </c>
      <c r="O4398" s="6" t="s">
        <v>22</v>
      </c>
    </row>
    <row r="4399" spans="1:15" hidden="1">
      <c r="A4399" s="6" t="s">
        <v>15</v>
      </c>
      <c r="B4399" s="6" t="str">
        <f>"FES1162692975"</f>
        <v>FES1162692975</v>
      </c>
      <c r="C4399" s="7">
        <v>43616</v>
      </c>
      <c r="D4399" s="6">
        <v>1</v>
      </c>
      <c r="E4399" s="6">
        <v>2170689552</v>
      </c>
      <c r="F4399" s="6" t="s">
        <v>16</v>
      </c>
      <c r="G4399" s="6" t="s">
        <v>17</v>
      </c>
      <c r="H4399" s="6" t="s">
        <v>32</v>
      </c>
      <c r="I4399" s="6" t="s">
        <v>33</v>
      </c>
      <c r="J4399" s="6" t="s">
        <v>34</v>
      </c>
      <c r="K4399" s="7">
        <v>43619</v>
      </c>
      <c r="L4399" s="8">
        <v>0.34791666666666665</v>
      </c>
      <c r="M4399" s="6" t="s">
        <v>35</v>
      </c>
      <c r="N4399" s="6" t="s">
        <v>21</v>
      </c>
      <c r="O4399" s="6" t="s">
        <v>22</v>
      </c>
    </row>
    <row r="4400" spans="1:15">
      <c r="A4400" s="6" t="s">
        <v>15</v>
      </c>
      <c r="B4400" s="6" t="str">
        <f>"FES1162692924"</f>
        <v>FES1162692924</v>
      </c>
      <c r="C4400" s="7">
        <v>43616</v>
      </c>
      <c r="D4400" s="6">
        <v>1</v>
      </c>
      <c r="E4400" s="6">
        <v>2170691200</v>
      </c>
      <c r="F4400" s="6" t="s">
        <v>16</v>
      </c>
      <c r="G4400" s="6" t="s">
        <v>17</v>
      </c>
      <c r="H4400" s="6" t="s">
        <v>17</v>
      </c>
      <c r="I4400" s="6" t="s">
        <v>18</v>
      </c>
      <c r="J4400" s="6" t="s">
        <v>1239</v>
      </c>
      <c r="K4400" s="7">
        <v>43619</v>
      </c>
      <c r="L4400" s="8">
        <v>0.41666666666666669</v>
      </c>
      <c r="M4400" s="6" t="s">
        <v>100</v>
      </c>
      <c r="N4400" s="6" t="s">
        <v>21</v>
      </c>
      <c r="O4400" s="6" t="s">
        <v>22</v>
      </c>
    </row>
    <row r="4401" spans="1:15" hidden="1">
      <c r="A4401" s="6" t="s">
        <v>15</v>
      </c>
      <c r="B4401" s="6" t="str">
        <f>"FES1162692972"</f>
        <v>FES1162692972</v>
      </c>
      <c r="C4401" s="7">
        <v>43616</v>
      </c>
      <c r="D4401" s="6">
        <v>1</v>
      </c>
      <c r="E4401" s="6">
        <v>2170688977</v>
      </c>
      <c r="F4401" s="6" t="s">
        <v>16</v>
      </c>
      <c r="G4401" s="6" t="s">
        <v>17</v>
      </c>
      <c r="H4401" s="6" t="s">
        <v>32</v>
      </c>
      <c r="I4401" s="6" t="s">
        <v>33</v>
      </c>
      <c r="J4401" s="6" t="s">
        <v>832</v>
      </c>
      <c r="K4401" s="7">
        <v>43619</v>
      </c>
      <c r="L4401" s="8">
        <v>0.40625</v>
      </c>
      <c r="M4401" s="6" t="s">
        <v>787</v>
      </c>
      <c r="N4401" s="6" t="s">
        <v>21</v>
      </c>
      <c r="O4401" s="6" t="s">
        <v>22</v>
      </c>
    </row>
    <row r="4402" spans="1:15">
      <c r="A4402" s="6" t="s">
        <v>15</v>
      </c>
      <c r="B4402" s="6" t="str">
        <f>"FES1162692918"</f>
        <v>FES1162692918</v>
      </c>
      <c r="C4402" s="7">
        <v>43616</v>
      </c>
      <c r="D4402" s="6">
        <v>1</v>
      </c>
      <c r="E4402" s="6">
        <v>2170691191</v>
      </c>
      <c r="F4402" s="6" t="s">
        <v>16</v>
      </c>
      <c r="G4402" s="6" t="s">
        <v>17</v>
      </c>
      <c r="H4402" s="6" t="s">
        <v>17</v>
      </c>
      <c r="I4402" s="6" t="s">
        <v>18</v>
      </c>
      <c r="J4402" s="6" t="s">
        <v>19</v>
      </c>
      <c r="K4402" s="7">
        <v>43619</v>
      </c>
      <c r="L4402" s="8">
        <v>0.36249999999999999</v>
      </c>
      <c r="M4402" s="6" t="s">
        <v>167</v>
      </c>
      <c r="N4402" s="6" t="s">
        <v>21</v>
      </c>
      <c r="O4402" s="6" t="s">
        <v>22</v>
      </c>
    </row>
    <row r="4403" spans="1:15">
      <c r="A4403" s="6" t="s">
        <v>15</v>
      </c>
      <c r="B4403" s="6" t="str">
        <f>"FES1162692922"</f>
        <v>FES1162692922</v>
      </c>
      <c r="C4403" s="7">
        <v>43616</v>
      </c>
      <c r="D4403" s="6">
        <v>1</v>
      </c>
      <c r="E4403" s="6">
        <v>2170691190</v>
      </c>
      <c r="F4403" s="6" t="s">
        <v>16</v>
      </c>
      <c r="G4403" s="6" t="s">
        <v>17</v>
      </c>
      <c r="H4403" s="6" t="s">
        <v>17</v>
      </c>
      <c r="I4403" s="6" t="s">
        <v>64</v>
      </c>
      <c r="J4403" s="6" t="s">
        <v>878</v>
      </c>
      <c r="K4403" s="7">
        <v>43619</v>
      </c>
      <c r="L4403" s="8">
        <v>0.41180555555555554</v>
      </c>
      <c r="M4403" s="6" t="s">
        <v>4950</v>
      </c>
      <c r="N4403" s="6" t="s">
        <v>21</v>
      </c>
      <c r="O4403" s="6" t="s">
        <v>22</v>
      </c>
    </row>
    <row r="4404" spans="1:15">
      <c r="A4404" s="6" t="s">
        <v>15</v>
      </c>
      <c r="B4404" s="6" t="str">
        <f>"FES1162692929"</f>
        <v>FES1162692929</v>
      </c>
      <c r="C4404" s="7">
        <v>43616</v>
      </c>
      <c r="D4404" s="6">
        <v>1</v>
      </c>
      <c r="E4404" s="6">
        <v>2170691204</v>
      </c>
      <c r="F4404" s="6" t="s">
        <v>16</v>
      </c>
      <c r="G4404" s="6" t="s">
        <v>17</v>
      </c>
      <c r="H4404" s="6" t="s">
        <v>17</v>
      </c>
      <c r="I4404" s="6" t="s">
        <v>18</v>
      </c>
      <c r="J4404" s="6" t="s">
        <v>19</v>
      </c>
      <c r="K4404" s="7">
        <v>43619</v>
      </c>
      <c r="L4404" s="8">
        <v>0.36249999999999999</v>
      </c>
      <c r="M4404" s="6" t="s">
        <v>4951</v>
      </c>
      <c r="N4404" s="6" t="s">
        <v>21</v>
      </c>
      <c r="O4404" s="6" t="s">
        <v>22</v>
      </c>
    </row>
    <row r="4405" spans="1:15" hidden="1">
      <c r="A4405" s="6" t="s">
        <v>15</v>
      </c>
      <c r="B4405" s="6" t="str">
        <f>"FES1162692919"</f>
        <v>FES1162692919</v>
      </c>
      <c r="C4405" s="7">
        <v>43616</v>
      </c>
      <c r="D4405" s="6">
        <v>1</v>
      </c>
      <c r="E4405" s="6">
        <v>2170691193</v>
      </c>
      <c r="F4405" s="6" t="s">
        <v>16</v>
      </c>
      <c r="G4405" s="6" t="s">
        <v>17</v>
      </c>
      <c r="H4405" s="6" t="s">
        <v>290</v>
      </c>
      <c r="I4405" s="6" t="s">
        <v>291</v>
      </c>
      <c r="J4405" s="6" t="s">
        <v>4952</v>
      </c>
      <c r="K4405" s="7">
        <v>43619</v>
      </c>
      <c r="L4405" s="8">
        <v>0.38750000000000001</v>
      </c>
      <c r="M4405" s="6" t="s">
        <v>734</v>
      </c>
      <c r="N4405" s="6" t="s">
        <v>21</v>
      </c>
      <c r="O4405" s="6" t="s">
        <v>22</v>
      </c>
    </row>
    <row r="4406" spans="1:15">
      <c r="A4406" s="6" t="s">
        <v>15</v>
      </c>
      <c r="B4406" s="6" t="str">
        <f>"FES1162692991"</f>
        <v>FES1162692991</v>
      </c>
      <c r="C4406" s="7">
        <v>43616</v>
      </c>
      <c r="D4406" s="6">
        <v>1</v>
      </c>
      <c r="E4406" s="6">
        <v>2170691255</v>
      </c>
      <c r="F4406" s="6" t="s">
        <v>16</v>
      </c>
      <c r="G4406" s="6" t="s">
        <v>17</v>
      </c>
      <c r="H4406" s="6" t="s">
        <v>17</v>
      </c>
      <c r="I4406" s="6" t="s">
        <v>103</v>
      </c>
      <c r="J4406" s="6" t="s">
        <v>3170</v>
      </c>
      <c r="K4406" s="7">
        <v>43619</v>
      </c>
      <c r="L4406" s="8">
        <v>0.33333333333333331</v>
      </c>
      <c r="M4406" s="6" t="s">
        <v>4953</v>
      </c>
      <c r="N4406" s="6" t="s">
        <v>21</v>
      </c>
      <c r="O4406" s="6" t="s">
        <v>22</v>
      </c>
    </row>
    <row r="4407" spans="1:15" hidden="1">
      <c r="A4407" s="6" t="s">
        <v>15</v>
      </c>
      <c r="B4407" s="6" t="str">
        <f>"FES1162692977"</f>
        <v>FES1162692977</v>
      </c>
      <c r="C4407" s="7">
        <v>43616</v>
      </c>
      <c r="D4407" s="6">
        <v>1</v>
      </c>
      <c r="E4407" s="6">
        <v>2170691242</v>
      </c>
      <c r="F4407" s="6" t="s">
        <v>16</v>
      </c>
      <c r="G4407" s="6" t="s">
        <v>17</v>
      </c>
      <c r="H4407" s="6" t="s">
        <v>43</v>
      </c>
      <c r="I4407" s="6" t="s">
        <v>44</v>
      </c>
      <c r="J4407" s="6" t="s">
        <v>748</v>
      </c>
      <c r="K4407" s="7">
        <v>43619</v>
      </c>
      <c r="L4407" s="8">
        <v>0.3659722222222222</v>
      </c>
      <c r="M4407" s="6" t="s">
        <v>4954</v>
      </c>
      <c r="N4407" s="6" t="s">
        <v>21</v>
      </c>
      <c r="O4407" s="6" t="s">
        <v>22</v>
      </c>
    </row>
    <row r="4408" spans="1:15" hidden="1">
      <c r="A4408" s="6" t="s">
        <v>15</v>
      </c>
      <c r="B4408" s="6" t="str">
        <f>"FES1162692990"</f>
        <v>FES1162692990</v>
      </c>
      <c r="C4408" s="7">
        <v>43616</v>
      </c>
      <c r="D4408" s="6">
        <v>1</v>
      </c>
      <c r="E4408" s="6">
        <v>2170691254</v>
      </c>
      <c r="F4408" s="6" t="s">
        <v>16</v>
      </c>
      <c r="G4408" s="6" t="s">
        <v>17</v>
      </c>
      <c r="H4408" s="6" t="s">
        <v>141</v>
      </c>
      <c r="I4408" s="6" t="s">
        <v>142</v>
      </c>
      <c r="J4408" s="6" t="s">
        <v>213</v>
      </c>
      <c r="K4408" s="7">
        <v>43619</v>
      </c>
      <c r="L4408" s="8">
        <v>0.37152777777777773</v>
      </c>
      <c r="M4408" s="6" t="s">
        <v>214</v>
      </c>
      <c r="N4408" s="6" t="s">
        <v>21</v>
      </c>
      <c r="O4408" s="6" t="s">
        <v>22</v>
      </c>
    </row>
    <row r="4409" spans="1:15" hidden="1">
      <c r="A4409" s="6" t="s">
        <v>15</v>
      </c>
      <c r="B4409" s="6" t="str">
        <f>"FES1162692984"</f>
        <v>FES1162692984</v>
      </c>
      <c r="C4409" s="7">
        <v>43616</v>
      </c>
      <c r="D4409" s="6">
        <v>1</v>
      </c>
      <c r="E4409" s="6">
        <v>2170691251</v>
      </c>
      <c r="F4409" s="6" t="s">
        <v>16</v>
      </c>
      <c r="G4409" s="6" t="s">
        <v>17</v>
      </c>
      <c r="H4409" s="6" t="s">
        <v>141</v>
      </c>
      <c r="I4409" s="6" t="s">
        <v>142</v>
      </c>
      <c r="J4409" s="6" t="s">
        <v>213</v>
      </c>
      <c r="K4409" s="7">
        <v>43619</v>
      </c>
      <c r="L4409" s="8">
        <v>0.37152777777777773</v>
      </c>
      <c r="M4409" s="6" t="s">
        <v>214</v>
      </c>
      <c r="N4409" s="6" t="s">
        <v>21</v>
      </c>
      <c r="O4409" s="6" t="s">
        <v>22</v>
      </c>
    </row>
    <row r="4410" spans="1:15" hidden="1">
      <c r="A4410" s="6" t="s">
        <v>15</v>
      </c>
      <c r="B4410" s="6" t="str">
        <f>"FES1162692978"</f>
        <v>FES1162692978</v>
      </c>
      <c r="C4410" s="7">
        <v>43616</v>
      </c>
      <c r="D4410" s="6">
        <v>1</v>
      </c>
      <c r="E4410" s="6">
        <v>2170691245</v>
      </c>
      <c r="F4410" s="6" t="s">
        <v>16</v>
      </c>
      <c r="G4410" s="6" t="s">
        <v>17</v>
      </c>
      <c r="H4410" s="6" t="s">
        <v>32</v>
      </c>
      <c r="I4410" s="6" t="s">
        <v>33</v>
      </c>
      <c r="J4410" s="6" t="s">
        <v>760</v>
      </c>
      <c r="K4410" s="7">
        <v>43619</v>
      </c>
      <c r="L4410" s="8">
        <v>0.3923611111111111</v>
      </c>
      <c r="M4410" s="6" t="s">
        <v>4955</v>
      </c>
      <c r="N4410" s="6" t="s">
        <v>21</v>
      </c>
      <c r="O4410" s="6" t="s">
        <v>22</v>
      </c>
    </row>
    <row r="4411" spans="1:15">
      <c r="A4411" s="6" t="s">
        <v>15</v>
      </c>
      <c r="B4411" s="6" t="str">
        <f>"FES1162692973"</f>
        <v>FES1162692973</v>
      </c>
      <c r="C4411" s="7">
        <v>43616</v>
      </c>
      <c r="D4411" s="6">
        <v>1</v>
      </c>
      <c r="E4411" s="6">
        <v>2170689064</v>
      </c>
      <c r="F4411" s="6" t="s">
        <v>16</v>
      </c>
      <c r="G4411" s="6" t="s">
        <v>17</v>
      </c>
      <c r="H4411" s="6" t="s">
        <v>17</v>
      </c>
      <c r="I4411" s="6" t="s">
        <v>23</v>
      </c>
      <c r="J4411" s="6" t="s">
        <v>2851</v>
      </c>
      <c r="K4411" s="7">
        <v>43619</v>
      </c>
      <c r="L4411" s="8">
        <v>0.38541666666666669</v>
      </c>
      <c r="M4411" s="6" t="s">
        <v>2393</v>
      </c>
      <c r="N4411" s="6" t="s">
        <v>21</v>
      </c>
      <c r="O4411" s="6" t="s">
        <v>22</v>
      </c>
    </row>
    <row r="4412" spans="1:15" hidden="1">
      <c r="A4412" s="6" t="s">
        <v>15</v>
      </c>
      <c r="B4412" s="6" t="str">
        <f>"FES1162692970"</f>
        <v>FES1162692970</v>
      </c>
      <c r="C4412" s="7">
        <v>43616</v>
      </c>
      <c r="D4412" s="6">
        <v>1</v>
      </c>
      <c r="E4412" s="6">
        <v>2170688789</v>
      </c>
      <c r="F4412" s="6" t="s">
        <v>58</v>
      </c>
      <c r="G4412" s="6" t="s">
        <v>59</v>
      </c>
      <c r="H4412" s="6" t="s">
        <v>2986</v>
      </c>
      <c r="I4412" s="6" t="s">
        <v>291</v>
      </c>
      <c r="J4412" s="6" t="s">
        <v>817</v>
      </c>
      <c r="K4412" s="7">
        <v>43619</v>
      </c>
      <c r="L4412" s="8">
        <v>0.44444444444444442</v>
      </c>
      <c r="M4412" s="6" t="s">
        <v>1914</v>
      </c>
      <c r="N4412" s="6" t="s">
        <v>21</v>
      </c>
      <c r="O4412" s="6" t="s">
        <v>22</v>
      </c>
    </row>
    <row r="4413" spans="1:15" hidden="1">
      <c r="A4413" s="27" t="s">
        <v>15</v>
      </c>
      <c r="B4413" s="27" t="str">
        <f>"FES1162692941"</f>
        <v>FES1162692941</v>
      </c>
      <c r="C4413" s="28">
        <v>43616</v>
      </c>
      <c r="D4413" s="27">
        <v>1</v>
      </c>
      <c r="E4413" s="27">
        <v>2170690241</v>
      </c>
      <c r="F4413" s="27" t="s">
        <v>58</v>
      </c>
      <c r="G4413" s="27" t="s">
        <v>59</v>
      </c>
      <c r="H4413" s="27" t="s">
        <v>59</v>
      </c>
      <c r="I4413" s="27" t="s">
        <v>935</v>
      </c>
      <c r="J4413" s="27" t="s">
        <v>936</v>
      </c>
      <c r="K4413" s="27" t="s">
        <v>1730</v>
      </c>
      <c r="L4413" s="27"/>
      <c r="M4413" s="27" t="s">
        <v>1731</v>
      </c>
      <c r="N4413" s="27" t="s">
        <v>4912</v>
      </c>
      <c r="O4413" s="27" t="s">
        <v>22</v>
      </c>
    </row>
    <row r="4414" spans="1:15" hidden="1">
      <c r="A4414" s="6" t="s">
        <v>15</v>
      </c>
      <c r="B4414" s="6" t="str">
        <f>"FES1162692998"</f>
        <v>FES1162692998</v>
      </c>
      <c r="C4414" s="7">
        <v>43616</v>
      </c>
      <c r="D4414" s="6">
        <v>1</v>
      </c>
      <c r="E4414" s="6">
        <v>2170691267</v>
      </c>
      <c r="F4414" s="6" t="s">
        <v>1433</v>
      </c>
      <c r="G4414" s="6" t="s">
        <v>59</v>
      </c>
      <c r="H4414" s="6" t="s">
        <v>59</v>
      </c>
      <c r="I4414" s="6" t="s">
        <v>610</v>
      </c>
      <c r="J4414" s="6" t="s">
        <v>611</v>
      </c>
      <c r="K4414" s="7">
        <v>43619</v>
      </c>
      <c r="L4414" s="8">
        <v>0.4375</v>
      </c>
      <c r="M4414" s="6" t="s">
        <v>4956</v>
      </c>
      <c r="N4414" s="6" t="s">
        <v>21</v>
      </c>
      <c r="O4414" s="6" t="s">
        <v>22</v>
      </c>
    </row>
    <row r="4415" spans="1:15">
      <c r="A4415" s="6" t="s">
        <v>15</v>
      </c>
      <c r="B4415" s="6" t="str">
        <f>"FES1162692966"</f>
        <v>FES1162692966</v>
      </c>
      <c r="C4415" s="7">
        <v>43616</v>
      </c>
      <c r="D4415" s="6">
        <v>1</v>
      </c>
      <c r="E4415" s="6">
        <v>2170685982</v>
      </c>
      <c r="F4415" s="6" t="s">
        <v>16</v>
      </c>
      <c r="G4415" s="6" t="s">
        <v>17</v>
      </c>
      <c r="H4415" s="6" t="s">
        <v>17</v>
      </c>
      <c r="I4415" s="6" t="s">
        <v>148</v>
      </c>
      <c r="J4415" s="6" t="s">
        <v>153</v>
      </c>
      <c r="K4415" s="7">
        <v>43619</v>
      </c>
      <c r="L4415" s="8">
        <v>0.33333333333333331</v>
      </c>
      <c r="M4415" s="6" t="s">
        <v>514</v>
      </c>
      <c r="N4415" s="6" t="s">
        <v>21</v>
      </c>
      <c r="O4415" s="6" t="s">
        <v>22</v>
      </c>
    </row>
    <row r="4416" spans="1:15" hidden="1">
      <c r="A4416" s="6" t="s">
        <v>15</v>
      </c>
      <c r="B4416" s="6" t="str">
        <f>"FES1162692986"</f>
        <v>FES1162692986</v>
      </c>
      <c r="C4416" s="7">
        <v>43616</v>
      </c>
      <c r="D4416" s="6">
        <v>2</v>
      </c>
      <c r="E4416" s="6">
        <v>2170688546</v>
      </c>
      <c r="F4416" s="6" t="s">
        <v>58</v>
      </c>
      <c r="G4416" s="6" t="s">
        <v>59</v>
      </c>
      <c r="H4416" s="6" t="s">
        <v>1507</v>
      </c>
      <c r="I4416" s="6" t="s">
        <v>1376</v>
      </c>
      <c r="J4416" s="6" t="s">
        <v>4957</v>
      </c>
      <c r="K4416" s="7">
        <v>43619</v>
      </c>
      <c r="L4416" s="8">
        <v>0.33333333333333331</v>
      </c>
      <c r="M4416" s="6" t="s">
        <v>4958</v>
      </c>
      <c r="N4416" s="6" t="s">
        <v>21</v>
      </c>
      <c r="O4416" s="6" t="s">
        <v>22</v>
      </c>
    </row>
    <row r="4417" spans="1:15" hidden="1">
      <c r="A4417" s="6" t="s">
        <v>15</v>
      </c>
      <c r="B4417" s="6" t="str">
        <f>"FES1162692962"</f>
        <v>FES1162692962</v>
      </c>
      <c r="C4417" s="7">
        <v>43616</v>
      </c>
      <c r="D4417" s="6">
        <v>1</v>
      </c>
      <c r="E4417" s="6">
        <v>2170683743</v>
      </c>
      <c r="F4417" s="6" t="s">
        <v>58</v>
      </c>
      <c r="G4417" s="6" t="s">
        <v>59</v>
      </c>
      <c r="H4417" s="6" t="s">
        <v>43</v>
      </c>
      <c r="I4417" s="6" t="s">
        <v>44</v>
      </c>
      <c r="J4417" s="6" t="s">
        <v>236</v>
      </c>
      <c r="K4417" s="7">
        <v>43619</v>
      </c>
      <c r="L4417" s="8">
        <v>0.41666666666666669</v>
      </c>
      <c r="M4417" s="6" t="s">
        <v>3987</v>
      </c>
      <c r="N4417" s="6" t="s">
        <v>21</v>
      </c>
      <c r="O4417" s="6" t="s">
        <v>22</v>
      </c>
    </row>
    <row r="4418" spans="1:15" hidden="1">
      <c r="A4418" s="6" t="s">
        <v>15</v>
      </c>
      <c r="B4418" s="6" t="str">
        <f>"FES1162692992"</f>
        <v>FES1162692992</v>
      </c>
      <c r="C4418" s="7">
        <v>43616</v>
      </c>
      <c r="D4418" s="6">
        <v>1</v>
      </c>
      <c r="E4418" s="6">
        <v>2170689297</v>
      </c>
      <c r="F4418" s="6" t="s">
        <v>16</v>
      </c>
      <c r="G4418" s="6" t="s">
        <v>17</v>
      </c>
      <c r="H4418" s="6" t="s">
        <v>43</v>
      </c>
      <c r="I4418" s="6" t="s">
        <v>44</v>
      </c>
      <c r="J4418" s="6" t="s">
        <v>742</v>
      </c>
      <c r="K4418" s="7">
        <v>43619</v>
      </c>
      <c r="L4418" s="8">
        <v>0.40277777777777773</v>
      </c>
      <c r="M4418" s="6" t="s">
        <v>4959</v>
      </c>
      <c r="N4418" s="6" t="s">
        <v>21</v>
      </c>
      <c r="O4418" s="6" t="s">
        <v>22</v>
      </c>
    </row>
    <row r="4419" spans="1:15" hidden="1">
      <c r="A4419" s="6" t="s">
        <v>15</v>
      </c>
      <c r="B4419" s="6" t="str">
        <f>"FES1162692999"</f>
        <v>FES1162692999</v>
      </c>
      <c r="C4419" s="7">
        <v>43616</v>
      </c>
      <c r="D4419" s="6">
        <v>1</v>
      </c>
      <c r="E4419" s="6">
        <v>2170691268</v>
      </c>
      <c r="F4419" s="6" t="s">
        <v>16</v>
      </c>
      <c r="G4419" s="6" t="s">
        <v>17</v>
      </c>
      <c r="H4419" s="6" t="s">
        <v>43</v>
      </c>
      <c r="I4419" s="6" t="s">
        <v>44</v>
      </c>
      <c r="J4419" s="6" t="s">
        <v>45</v>
      </c>
      <c r="K4419" s="7">
        <v>43619</v>
      </c>
      <c r="L4419" s="8">
        <v>0.31597222222222221</v>
      </c>
      <c r="M4419" s="6" t="s">
        <v>3873</v>
      </c>
      <c r="N4419" s="6" t="s">
        <v>21</v>
      </c>
      <c r="O4419" s="6" t="s">
        <v>22</v>
      </c>
    </row>
    <row r="4420" spans="1:15" hidden="1">
      <c r="A4420" s="6" t="s">
        <v>15</v>
      </c>
      <c r="B4420" s="6" t="str">
        <f>"FES1162693007"</f>
        <v>FES1162693007</v>
      </c>
      <c r="C4420" s="7">
        <v>43616</v>
      </c>
      <c r="D4420" s="6">
        <v>1</v>
      </c>
      <c r="E4420" s="6">
        <v>2170691276</v>
      </c>
      <c r="F4420" s="6" t="s">
        <v>16</v>
      </c>
      <c r="G4420" s="6" t="s">
        <v>17</v>
      </c>
      <c r="H4420" s="6" t="s">
        <v>132</v>
      </c>
      <c r="I4420" s="6" t="s">
        <v>133</v>
      </c>
      <c r="J4420" s="6" t="s">
        <v>238</v>
      </c>
      <c r="K4420" s="7">
        <v>43619</v>
      </c>
      <c r="L4420" s="8">
        <v>0.33680555555555558</v>
      </c>
      <c r="M4420" s="6" t="s">
        <v>3914</v>
      </c>
      <c r="N4420" s="6" t="s">
        <v>21</v>
      </c>
      <c r="O4420" s="6" t="s">
        <v>22</v>
      </c>
    </row>
    <row r="4421" spans="1:15" hidden="1">
      <c r="A4421" s="6" t="s">
        <v>15</v>
      </c>
      <c r="B4421" s="6" t="str">
        <f>"FES1162692976"</f>
        <v>FES1162692976</v>
      </c>
      <c r="C4421" s="7">
        <v>43616</v>
      </c>
      <c r="D4421" s="6">
        <v>1</v>
      </c>
      <c r="E4421" s="6">
        <v>2170691240</v>
      </c>
      <c r="F4421" s="6" t="s">
        <v>16</v>
      </c>
      <c r="G4421" s="6" t="s">
        <v>17</v>
      </c>
      <c r="H4421" s="6" t="s">
        <v>141</v>
      </c>
      <c r="I4421" s="6" t="s">
        <v>142</v>
      </c>
      <c r="J4421" s="6" t="s">
        <v>4960</v>
      </c>
      <c r="K4421" s="7">
        <v>43619</v>
      </c>
      <c r="L4421" s="8">
        <v>0.34375</v>
      </c>
      <c r="M4421" s="6" t="s">
        <v>4961</v>
      </c>
      <c r="N4421" s="6" t="s">
        <v>21</v>
      </c>
      <c r="O4421" s="6" t="s">
        <v>22</v>
      </c>
    </row>
    <row r="4422" spans="1:15">
      <c r="A4422" s="6" t="s">
        <v>15</v>
      </c>
      <c r="B4422" s="6" t="str">
        <f>"FES1162692979"</f>
        <v>FES1162692979</v>
      </c>
      <c r="C4422" s="7">
        <v>43616</v>
      </c>
      <c r="D4422" s="6">
        <v>1</v>
      </c>
      <c r="E4422" s="6">
        <v>2170691247</v>
      </c>
      <c r="F4422" s="6" t="s">
        <v>16</v>
      </c>
      <c r="G4422" s="6" t="s">
        <v>17</v>
      </c>
      <c r="H4422" s="6" t="s">
        <v>17</v>
      </c>
      <c r="I4422" s="6" t="s">
        <v>103</v>
      </c>
      <c r="J4422" s="6" t="s">
        <v>3170</v>
      </c>
      <c r="K4422" s="7">
        <v>43619</v>
      </c>
      <c r="L4422" s="8">
        <v>0.33333333333333331</v>
      </c>
      <c r="M4422" s="6" t="s">
        <v>4953</v>
      </c>
      <c r="N4422" s="6" t="s">
        <v>21</v>
      </c>
      <c r="O4422" s="6" t="s">
        <v>22</v>
      </c>
    </row>
    <row r="4423" spans="1:15">
      <c r="A4423" s="6" t="s">
        <v>15</v>
      </c>
      <c r="B4423" s="6" t="str">
        <f>"FES1162692987"</f>
        <v>FES1162692987</v>
      </c>
      <c r="C4423" s="7">
        <v>43616</v>
      </c>
      <c r="D4423" s="6">
        <v>1</v>
      </c>
      <c r="E4423" s="6">
        <v>2170689132</v>
      </c>
      <c r="F4423" s="6" t="s">
        <v>16</v>
      </c>
      <c r="G4423" s="6" t="s">
        <v>17</v>
      </c>
      <c r="H4423" s="6" t="s">
        <v>17</v>
      </c>
      <c r="I4423" s="6" t="s">
        <v>64</v>
      </c>
      <c r="J4423" s="6" t="s">
        <v>116</v>
      </c>
      <c r="K4423" s="7">
        <v>43619</v>
      </c>
      <c r="L4423" s="8">
        <v>0.36874999999999997</v>
      </c>
      <c r="M4423" s="6" t="s">
        <v>116</v>
      </c>
      <c r="N4423" s="6" t="s">
        <v>21</v>
      </c>
      <c r="O4423" s="6" t="s">
        <v>22</v>
      </c>
    </row>
    <row r="4424" spans="1:15" hidden="1">
      <c r="A4424" s="6" t="s">
        <v>15</v>
      </c>
      <c r="B4424" s="6" t="str">
        <f>"FES1162692961"</f>
        <v>FES1162692961</v>
      </c>
      <c r="C4424" s="7">
        <v>43616</v>
      </c>
      <c r="D4424" s="6">
        <v>1</v>
      </c>
      <c r="E4424" s="6">
        <v>2170691244</v>
      </c>
      <c r="F4424" s="6" t="s">
        <v>16</v>
      </c>
      <c r="G4424" s="6" t="s">
        <v>17</v>
      </c>
      <c r="H4424" s="6" t="s">
        <v>32</v>
      </c>
      <c r="I4424" s="6" t="s">
        <v>342</v>
      </c>
      <c r="J4424" s="6" t="s">
        <v>949</v>
      </c>
      <c r="K4424" s="7">
        <v>43619</v>
      </c>
      <c r="L4424" s="8">
        <v>0.35486111111111113</v>
      </c>
      <c r="M4424" s="6" t="s">
        <v>2459</v>
      </c>
      <c r="N4424" s="6" t="s">
        <v>21</v>
      </c>
      <c r="O4424" s="6" t="s">
        <v>22</v>
      </c>
    </row>
    <row r="4425" spans="1:15" hidden="1">
      <c r="A4425" s="6" t="s">
        <v>15</v>
      </c>
      <c r="B4425" s="6" t="str">
        <f>"FES1162692981"</f>
        <v>FES1162692981</v>
      </c>
      <c r="C4425" s="7">
        <v>43616</v>
      </c>
      <c r="D4425" s="6">
        <v>2</v>
      </c>
      <c r="E4425" s="6">
        <v>2170686863</v>
      </c>
      <c r="F4425" s="6" t="s">
        <v>58</v>
      </c>
      <c r="G4425" s="6" t="s">
        <v>59</v>
      </c>
      <c r="H4425" s="6" t="s">
        <v>32</v>
      </c>
      <c r="I4425" s="6" t="s">
        <v>342</v>
      </c>
      <c r="J4425" s="6" t="s">
        <v>549</v>
      </c>
      <c r="K4425" s="7">
        <v>43619</v>
      </c>
      <c r="L4425" s="8">
        <v>0.42430555555555555</v>
      </c>
      <c r="M4425" s="6" t="s">
        <v>4962</v>
      </c>
      <c r="N4425" s="6" t="s">
        <v>21</v>
      </c>
      <c r="O4425" s="6" t="s">
        <v>22</v>
      </c>
    </row>
    <row r="4426" spans="1:15" hidden="1">
      <c r="A4426" s="6" t="s">
        <v>15</v>
      </c>
      <c r="B4426" s="6" t="str">
        <f>"FES1162693009"</f>
        <v>FES1162693009</v>
      </c>
      <c r="C4426" s="7">
        <v>43616</v>
      </c>
      <c r="D4426" s="6">
        <v>1</v>
      </c>
      <c r="E4426" s="6">
        <v>2170691280</v>
      </c>
      <c r="F4426" s="6" t="s">
        <v>16</v>
      </c>
      <c r="G4426" s="6" t="s">
        <v>17</v>
      </c>
      <c r="H4426" s="6" t="s">
        <v>32</v>
      </c>
      <c r="I4426" s="6" t="s">
        <v>33</v>
      </c>
      <c r="J4426" s="6" t="s">
        <v>357</v>
      </c>
      <c r="K4426" s="7">
        <v>43619</v>
      </c>
      <c r="L4426" s="8">
        <v>0.36458333333333331</v>
      </c>
      <c r="M4426" s="6" t="s">
        <v>2201</v>
      </c>
      <c r="N4426" s="6" t="s">
        <v>21</v>
      </c>
      <c r="O4426" s="6" t="s">
        <v>22</v>
      </c>
    </row>
    <row r="4427" spans="1:15">
      <c r="A4427" s="6" t="s">
        <v>15</v>
      </c>
      <c r="B4427" s="6" t="str">
        <f>"FES1162693010"</f>
        <v>FES1162693010</v>
      </c>
      <c r="C4427" s="7">
        <v>43616</v>
      </c>
      <c r="D4427" s="6">
        <v>1</v>
      </c>
      <c r="E4427" s="6">
        <v>2170691281</v>
      </c>
      <c r="F4427" s="6" t="s">
        <v>16</v>
      </c>
      <c r="G4427" s="6" t="s">
        <v>17</v>
      </c>
      <c r="H4427" s="6" t="s">
        <v>17</v>
      </c>
      <c r="I4427" s="6" t="s">
        <v>421</v>
      </c>
      <c r="J4427" s="6" t="s">
        <v>422</v>
      </c>
      <c r="K4427" s="7">
        <v>43619</v>
      </c>
      <c r="L4427" s="8">
        <v>0.33333333333333331</v>
      </c>
      <c r="M4427" s="6" t="s">
        <v>56</v>
      </c>
      <c r="N4427" s="6" t="s">
        <v>21</v>
      </c>
      <c r="O4427" s="6" t="s">
        <v>22</v>
      </c>
    </row>
    <row r="4428" spans="1:15" hidden="1">
      <c r="A4428" s="27" t="s">
        <v>15</v>
      </c>
      <c r="B4428" s="27" t="str">
        <f>"FES1162693011"</f>
        <v>FES1162693011</v>
      </c>
      <c r="C4428" s="28">
        <v>43616</v>
      </c>
      <c r="D4428" s="27">
        <v>1</v>
      </c>
      <c r="E4428" s="27">
        <v>2170691282</v>
      </c>
      <c r="F4428" s="27" t="s">
        <v>16</v>
      </c>
      <c r="G4428" s="27" t="s">
        <v>17</v>
      </c>
      <c r="H4428" s="27" t="s">
        <v>141</v>
      </c>
      <c r="I4428" s="27" t="s">
        <v>142</v>
      </c>
      <c r="J4428" s="27" t="s">
        <v>4963</v>
      </c>
      <c r="K4428" s="27" t="s">
        <v>1730</v>
      </c>
      <c r="L4428" s="27"/>
      <c r="M4428" s="27" t="s">
        <v>1731</v>
      </c>
      <c r="N4428" s="27" t="s">
        <v>4912</v>
      </c>
      <c r="O4428" s="27" t="s">
        <v>22</v>
      </c>
    </row>
    <row r="4429" spans="1:15" ht="15.75" thickBot="1">
      <c r="A4429" s="11" t="s">
        <v>15</v>
      </c>
      <c r="B4429" s="11" t="str">
        <f>"FES1162693006"</f>
        <v>FES1162693006</v>
      </c>
      <c r="C4429" s="12">
        <v>43616</v>
      </c>
      <c r="D4429" s="11">
        <v>1</v>
      </c>
      <c r="E4429" s="11">
        <v>2170691272</v>
      </c>
      <c r="F4429" s="11" t="s">
        <v>16</v>
      </c>
      <c r="G4429" s="11" t="s">
        <v>17</v>
      </c>
      <c r="H4429" s="11" t="s">
        <v>17</v>
      </c>
      <c r="I4429" s="11" t="s">
        <v>103</v>
      </c>
      <c r="J4429" s="11" t="s">
        <v>143</v>
      </c>
      <c r="K4429" s="12">
        <v>43619</v>
      </c>
      <c r="L4429" s="13">
        <v>0.33333333333333331</v>
      </c>
      <c r="M4429" s="11" t="s">
        <v>4927</v>
      </c>
      <c r="N4429" s="11" t="s">
        <v>21</v>
      </c>
      <c r="O4429" s="11" t="s">
        <v>22</v>
      </c>
    </row>
    <row r="4430" spans="1:15" hidden="1">
      <c r="A4430" s="3" t="s">
        <v>15</v>
      </c>
      <c r="B4430" s="3" t="str">
        <f>"FES1162693014"</f>
        <v>FES1162693014</v>
      </c>
      <c r="C4430" s="4">
        <v>43616</v>
      </c>
      <c r="D4430" s="3">
        <v>1</v>
      </c>
      <c r="E4430" s="3">
        <v>2170691284</v>
      </c>
      <c r="F4430" s="3" t="s">
        <v>16</v>
      </c>
      <c r="G4430" s="3" t="s">
        <v>17</v>
      </c>
      <c r="H4430" s="3" t="s">
        <v>43</v>
      </c>
      <c r="I4430" s="3" t="s">
        <v>44</v>
      </c>
      <c r="J4430" s="3" t="s">
        <v>225</v>
      </c>
      <c r="K4430" s="4">
        <v>43619</v>
      </c>
      <c r="L4430" s="5">
        <v>0.3430555555555555</v>
      </c>
      <c r="M4430" s="3" t="s">
        <v>4964</v>
      </c>
      <c r="N4430" s="3" t="s">
        <v>21</v>
      </c>
      <c r="O4430" s="3" t="s">
        <v>22</v>
      </c>
    </row>
    <row r="4431" spans="1:15" hidden="1">
      <c r="A4431" s="6" t="s">
        <v>15</v>
      </c>
      <c r="B4431" s="6" t="str">
        <f>"FES1162693001"</f>
        <v>FES1162693001</v>
      </c>
      <c r="C4431" s="7">
        <v>43616</v>
      </c>
      <c r="D4431" s="6">
        <v>1</v>
      </c>
      <c r="E4431" s="6">
        <v>2170687096</v>
      </c>
      <c r="F4431" s="6" t="s">
        <v>16</v>
      </c>
      <c r="G4431" s="6" t="s">
        <v>17</v>
      </c>
      <c r="H4431" s="6" t="s">
        <v>290</v>
      </c>
      <c r="I4431" s="6" t="s">
        <v>291</v>
      </c>
      <c r="J4431" s="6" t="s">
        <v>4965</v>
      </c>
      <c r="K4431" s="7">
        <v>43619</v>
      </c>
      <c r="L4431" s="8">
        <v>0.4236111111111111</v>
      </c>
      <c r="M4431" s="6" t="s">
        <v>4966</v>
      </c>
      <c r="N4431" s="6" t="s">
        <v>21</v>
      </c>
      <c r="O4431" s="6" t="s">
        <v>22</v>
      </c>
    </row>
    <row r="4432" spans="1:15" hidden="1">
      <c r="A4432" s="6" t="s">
        <v>15</v>
      </c>
      <c r="B4432" s="6" t="str">
        <f>"FES1162692993"</f>
        <v>FES1162692993</v>
      </c>
      <c r="C4432" s="7">
        <v>43616</v>
      </c>
      <c r="D4432" s="6">
        <v>1</v>
      </c>
      <c r="E4432" s="6">
        <v>2170691087</v>
      </c>
      <c r="F4432" s="6" t="s">
        <v>16</v>
      </c>
      <c r="G4432" s="6" t="s">
        <v>17</v>
      </c>
      <c r="H4432" s="6" t="s">
        <v>141</v>
      </c>
      <c r="I4432" s="6" t="s">
        <v>185</v>
      </c>
      <c r="J4432" s="6" t="s">
        <v>1011</v>
      </c>
      <c r="K4432" s="7">
        <v>43619</v>
      </c>
      <c r="L4432" s="8">
        <v>0.34375</v>
      </c>
      <c r="M4432" s="6" t="s">
        <v>1012</v>
      </c>
      <c r="N4432" s="6" t="s">
        <v>21</v>
      </c>
      <c r="O4432" s="6" t="s">
        <v>22</v>
      </c>
    </row>
    <row r="4433" spans="1:15" hidden="1">
      <c r="A4433" s="6" t="s">
        <v>15</v>
      </c>
      <c r="B4433" s="6" t="str">
        <f>"FES1162693002"</f>
        <v>FES1162693002</v>
      </c>
      <c r="C4433" s="7">
        <v>43616</v>
      </c>
      <c r="D4433" s="6">
        <v>1</v>
      </c>
      <c r="E4433" s="6">
        <v>2170687099</v>
      </c>
      <c r="F4433" s="6" t="s">
        <v>16</v>
      </c>
      <c r="G4433" s="6" t="s">
        <v>17</v>
      </c>
      <c r="H4433" s="6" t="s">
        <v>290</v>
      </c>
      <c r="I4433" s="6" t="s">
        <v>291</v>
      </c>
      <c r="J4433" s="6" t="s">
        <v>4965</v>
      </c>
      <c r="K4433" s="7">
        <v>43619</v>
      </c>
      <c r="L4433" s="8">
        <v>0.4236111111111111</v>
      </c>
      <c r="M4433" s="6" t="s">
        <v>4966</v>
      </c>
      <c r="N4433" s="6" t="s">
        <v>21</v>
      </c>
      <c r="O4433" s="6" t="s">
        <v>22</v>
      </c>
    </row>
    <row r="4434" spans="1:15" hidden="1">
      <c r="A4434" s="6" t="s">
        <v>15</v>
      </c>
      <c r="B4434" s="6" t="str">
        <f>"FES1162692996"</f>
        <v>FES1162692996</v>
      </c>
      <c r="C4434" s="7">
        <v>43616</v>
      </c>
      <c r="D4434" s="6">
        <v>1</v>
      </c>
      <c r="E4434" s="6">
        <v>21706912645</v>
      </c>
      <c r="F4434" s="6" t="s">
        <v>16</v>
      </c>
      <c r="G4434" s="6" t="s">
        <v>17</v>
      </c>
      <c r="H4434" s="6" t="s">
        <v>290</v>
      </c>
      <c r="I4434" s="6" t="s">
        <v>291</v>
      </c>
      <c r="J4434" s="6" t="s">
        <v>1835</v>
      </c>
      <c r="K4434" s="7">
        <v>43619</v>
      </c>
      <c r="L4434" s="8">
        <v>0.40277777777777773</v>
      </c>
      <c r="M4434" s="6" t="s">
        <v>4967</v>
      </c>
      <c r="N4434" s="6" t="s">
        <v>21</v>
      </c>
      <c r="O4434" s="6" t="s">
        <v>22</v>
      </c>
    </row>
    <row r="4435" spans="1:15" hidden="1">
      <c r="A4435" s="6" t="s">
        <v>15</v>
      </c>
      <c r="B4435" s="6" t="str">
        <f>"FES1162693008"</f>
        <v>FES1162693008</v>
      </c>
      <c r="C4435" s="7">
        <v>43616</v>
      </c>
      <c r="D4435" s="6">
        <v>1</v>
      </c>
      <c r="E4435" s="6">
        <v>2170691279</v>
      </c>
      <c r="F4435" s="6" t="s">
        <v>16</v>
      </c>
      <c r="G4435" s="6" t="s">
        <v>17</v>
      </c>
      <c r="H4435" s="6" t="s">
        <v>440</v>
      </c>
      <c r="I4435" s="6" t="s">
        <v>441</v>
      </c>
      <c r="J4435" s="6" t="s">
        <v>317</v>
      </c>
      <c r="K4435" s="7">
        <v>43619</v>
      </c>
      <c r="L4435" s="8">
        <v>0.39583333333333331</v>
      </c>
      <c r="M4435" s="6" t="s">
        <v>444</v>
      </c>
      <c r="N4435" s="6" t="s">
        <v>21</v>
      </c>
      <c r="O4435" s="6" t="s">
        <v>22</v>
      </c>
    </row>
    <row r="4436" spans="1:15" hidden="1">
      <c r="A4436" s="6" t="s">
        <v>15</v>
      </c>
      <c r="B4436" s="6" t="str">
        <f>"FES1162692957"</f>
        <v>FES1162692957</v>
      </c>
      <c r="C4436" s="7">
        <v>43616</v>
      </c>
      <c r="D4436" s="6">
        <v>1</v>
      </c>
      <c r="E4436" s="6">
        <v>2170691235</v>
      </c>
      <c r="F4436" s="6" t="s">
        <v>16</v>
      </c>
      <c r="G4436" s="6" t="s">
        <v>17</v>
      </c>
      <c r="H4436" s="6" t="s">
        <v>290</v>
      </c>
      <c r="I4436" s="6" t="s">
        <v>316</v>
      </c>
      <c r="J4436" s="6" t="s">
        <v>317</v>
      </c>
      <c r="K4436" s="7">
        <v>43619</v>
      </c>
      <c r="L4436" s="8">
        <v>0.5</v>
      </c>
      <c r="M4436" s="6" t="s">
        <v>92</v>
      </c>
      <c r="N4436" s="6" t="s">
        <v>21</v>
      </c>
      <c r="O4436" s="6" t="s">
        <v>22</v>
      </c>
    </row>
    <row r="4437" spans="1:15" hidden="1">
      <c r="A4437" s="6" t="s">
        <v>15</v>
      </c>
      <c r="B4437" s="6" t="str">
        <f>"FES1162692954"</f>
        <v>FES1162692954</v>
      </c>
      <c r="C4437" s="7">
        <v>43616</v>
      </c>
      <c r="D4437" s="6">
        <v>1</v>
      </c>
      <c r="E4437" s="6">
        <v>2170691230</v>
      </c>
      <c r="F4437" s="6" t="s">
        <v>1433</v>
      </c>
      <c r="G4437" s="6" t="s">
        <v>59</v>
      </c>
      <c r="H4437" s="6" t="s">
        <v>59</v>
      </c>
      <c r="I4437" s="6" t="s">
        <v>316</v>
      </c>
      <c r="J4437" s="6" t="s">
        <v>317</v>
      </c>
      <c r="K4437" s="7">
        <v>43619</v>
      </c>
      <c r="L4437" s="8">
        <v>0.5</v>
      </c>
      <c r="M4437" s="6" t="s">
        <v>92</v>
      </c>
      <c r="N4437" s="6" t="s">
        <v>21</v>
      </c>
      <c r="O4437" s="6" t="s">
        <v>22</v>
      </c>
    </row>
    <row r="4438" spans="1:15" hidden="1">
      <c r="A4438" s="6" t="s">
        <v>15</v>
      </c>
      <c r="B4438" s="6" t="str">
        <f>"FES1162693005"</f>
        <v>FES1162693005</v>
      </c>
      <c r="C4438" s="7">
        <v>43616</v>
      </c>
      <c r="D4438" s="6">
        <v>2</v>
      </c>
      <c r="E4438" s="6">
        <v>2170691271</v>
      </c>
      <c r="F4438" s="6" t="s">
        <v>58</v>
      </c>
      <c r="G4438" s="6" t="s">
        <v>59</v>
      </c>
      <c r="H4438" s="6" t="s">
        <v>43</v>
      </c>
      <c r="I4438" s="6" t="s">
        <v>44</v>
      </c>
      <c r="J4438" s="6" t="s">
        <v>51</v>
      </c>
      <c r="K4438" s="7">
        <v>43619</v>
      </c>
      <c r="L4438" s="8">
        <v>0.42777777777777781</v>
      </c>
      <c r="M4438" s="6" t="s">
        <v>4968</v>
      </c>
      <c r="N4438" s="6" t="s">
        <v>21</v>
      </c>
      <c r="O4438" s="6" t="s">
        <v>22</v>
      </c>
    </row>
    <row r="4439" spans="1:15" hidden="1">
      <c r="A4439" s="6" t="s">
        <v>15</v>
      </c>
      <c r="B4439" s="6" t="str">
        <f>"FES1162693016"</f>
        <v>FES1162693016</v>
      </c>
      <c r="C4439" s="7">
        <v>43616</v>
      </c>
      <c r="D4439" s="6">
        <v>2</v>
      </c>
      <c r="E4439" s="6">
        <v>217069252</v>
      </c>
      <c r="F4439" s="6" t="s">
        <v>58</v>
      </c>
      <c r="G4439" s="6" t="s">
        <v>59</v>
      </c>
      <c r="H4439" s="6" t="s">
        <v>4969</v>
      </c>
      <c r="I4439" s="6" t="s">
        <v>301</v>
      </c>
      <c r="J4439" s="6" t="s">
        <v>3781</v>
      </c>
      <c r="K4439" s="7">
        <v>43619</v>
      </c>
      <c r="L4439" s="8">
        <v>0.39097222222222222</v>
      </c>
      <c r="M4439" s="6" t="s">
        <v>1609</v>
      </c>
      <c r="N4439" s="6" t="s">
        <v>21</v>
      </c>
      <c r="O4439" s="6" t="s">
        <v>22</v>
      </c>
    </row>
    <row r="4440" spans="1:15" hidden="1">
      <c r="A4440" s="6" t="s">
        <v>15</v>
      </c>
      <c r="B4440" s="6" t="str">
        <f>"FES1162692989"</f>
        <v>FES1162692989</v>
      </c>
      <c r="C4440" s="7">
        <v>43616</v>
      </c>
      <c r="D4440" s="6">
        <v>2</v>
      </c>
      <c r="E4440" s="6">
        <v>2170691253</v>
      </c>
      <c r="F4440" s="6" t="s">
        <v>58</v>
      </c>
      <c r="G4440" s="6" t="s">
        <v>59</v>
      </c>
      <c r="H4440" s="6" t="s">
        <v>4969</v>
      </c>
      <c r="I4440" s="6" t="s">
        <v>301</v>
      </c>
      <c r="J4440" s="6" t="s">
        <v>3781</v>
      </c>
      <c r="K4440" s="7">
        <v>43619</v>
      </c>
      <c r="L4440" s="8">
        <v>0.3923611111111111</v>
      </c>
      <c r="M4440" s="6" t="s">
        <v>1609</v>
      </c>
      <c r="N4440" s="6" t="s">
        <v>21</v>
      </c>
      <c r="O4440" s="6" t="s">
        <v>22</v>
      </c>
    </row>
    <row r="4441" spans="1:15" hidden="1">
      <c r="A4441" s="6" t="s">
        <v>15</v>
      </c>
      <c r="B4441" s="6" t="str">
        <f>"FES1162693003"</f>
        <v>FES1162693003</v>
      </c>
      <c r="C4441" s="7">
        <v>43616</v>
      </c>
      <c r="D4441" s="6">
        <v>1</v>
      </c>
      <c r="E4441" s="6">
        <v>2170687106</v>
      </c>
      <c r="F4441" s="6" t="s">
        <v>16</v>
      </c>
      <c r="G4441" s="6" t="s">
        <v>17</v>
      </c>
      <c r="H4441" s="6" t="s">
        <v>290</v>
      </c>
      <c r="I4441" s="6" t="s">
        <v>291</v>
      </c>
      <c r="J4441" s="6" t="s">
        <v>4965</v>
      </c>
      <c r="K4441" s="7">
        <v>43619</v>
      </c>
      <c r="L4441" s="8">
        <v>0.4236111111111111</v>
      </c>
      <c r="M4441" s="6" t="s">
        <v>4966</v>
      </c>
      <c r="N4441" s="6" t="s">
        <v>21</v>
      </c>
      <c r="O4441" s="6" t="s">
        <v>22</v>
      </c>
    </row>
    <row r="4442" spans="1:15" hidden="1">
      <c r="A4442" s="6" t="s">
        <v>15</v>
      </c>
      <c r="B4442" s="6" t="str">
        <f>"FES1162692995"</f>
        <v>FES1162692995</v>
      </c>
      <c r="C4442" s="7">
        <v>43616</v>
      </c>
      <c r="D4442" s="6">
        <v>1</v>
      </c>
      <c r="E4442" s="6">
        <v>2170691262</v>
      </c>
      <c r="F4442" s="6" t="s">
        <v>16</v>
      </c>
      <c r="G4442" s="6" t="s">
        <v>17</v>
      </c>
      <c r="H4442" s="6" t="s">
        <v>43</v>
      </c>
      <c r="I4442" s="6" t="s">
        <v>44</v>
      </c>
      <c r="J4442" s="6" t="s">
        <v>4970</v>
      </c>
      <c r="K4442" s="7">
        <v>43619</v>
      </c>
      <c r="L4442" s="8">
        <v>0.30486111111111108</v>
      </c>
      <c r="M4442" s="6" t="s">
        <v>4971</v>
      </c>
      <c r="N4442" s="6" t="s">
        <v>21</v>
      </c>
      <c r="O4442" s="6" t="s">
        <v>22</v>
      </c>
    </row>
    <row r="4443" spans="1:15" hidden="1">
      <c r="A4443" s="6" t="s">
        <v>15</v>
      </c>
      <c r="B4443" s="6" t="str">
        <f>"FES1162692982"</f>
        <v>FES1162692982</v>
      </c>
      <c r="C4443" s="7">
        <v>43616</v>
      </c>
      <c r="D4443" s="6">
        <v>1</v>
      </c>
      <c r="E4443" s="6">
        <v>2170691248</v>
      </c>
      <c r="F4443" s="6" t="s">
        <v>16</v>
      </c>
      <c r="G4443" s="6" t="s">
        <v>17</v>
      </c>
      <c r="H4443" s="6" t="s">
        <v>43</v>
      </c>
      <c r="I4443" s="6" t="s">
        <v>44</v>
      </c>
      <c r="J4443" s="6" t="s">
        <v>207</v>
      </c>
      <c r="K4443" s="7">
        <v>43619</v>
      </c>
      <c r="L4443" s="8">
        <v>0.38819444444444445</v>
      </c>
      <c r="M4443" s="6" t="s">
        <v>4922</v>
      </c>
      <c r="N4443" s="6" t="s">
        <v>21</v>
      </c>
      <c r="O4443" s="6" t="s">
        <v>22</v>
      </c>
    </row>
    <row r="4444" spans="1:15" ht="15.75" hidden="1" thickBot="1">
      <c r="A4444" s="11" t="s">
        <v>15</v>
      </c>
      <c r="B4444" s="11" t="str">
        <f>"019911311348"</f>
        <v>019911311348</v>
      </c>
      <c r="C4444" s="12">
        <v>43616</v>
      </c>
      <c r="D4444" s="11">
        <v>1</v>
      </c>
      <c r="E4444" s="11">
        <v>1703</v>
      </c>
      <c r="F4444" s="11" t="s">
        <v>16</v>
      </c>
      <c r="G4444" s="11" t="s">
        <v>43</v>
      </c>
      <c r="H4444" s="11" t="s">
        <v>59</v>
      </c>
      <c r="I4444" s="11" t="s">
        <v>64</v>
      </c>
      <c r="J4444" s="11" t="s">
        <v>1062</v>
      </c>
      <c r="K4444" s="11" t="s">
        <v>1730</v>
      </c>
      <c r="L4444" s="11"/>
      <c r="M4444" s="11" t="s">
        <v>1731</v>
      </c>
      <c r="N4444" s="11" t="s">
        <v>4898</v>
      </c>
      <c r="O4444" s="11" t="s">
        <v>22</v>
      </c>
    </row>
    <row r="4445" spans="1:15" hidden="1">
      <c r="A4445" s="3" t="s">
        <v>15</v>
      </c>
      <c r="B4445" s="3" t="str">
        <f>"009938881035"</f>
        <v>009938881035</v>
      </c>
      <c r="C4445" s="4">
        <v>43616</v>
      </c>
      <c r="D4445" s="3">
        <v>1</v>
      </c>
      <c r="E4445" s="3" t="s">
        <v>1064</v>
      </c>
      <c r="F4445" s="3" t="s">
        <v>4972</v>
      </c>
      <c r="G4445" s="3" t="s">
        <v>43</v>
      </c>
      <c r="H4445" s="3" t="s">
        <v>4973</v>
      </c>
      <c r="I4445" s="3" t="s">
        <v>75</v>
      </c>
      <c r="J4445" s="3" t="s">
        <v>4974</v>
      </c>
      <c r="K4445" s="3" t="s">
        <v>1730</v>
      </c>
      <c r="L4445" s="3"/>
      <c r="M4445" s="3" t="s">
        <v>1731</v>
      </c>
      <c r="N4445" s="3" t="s">
        <v>4898</v>
      </c>
      <c r="O4445" s="3" t="s">
        <v>22</v>
      </c>
    </row>
    <row r="4446" spans="1:15" hidden="1">
      <c r="A4446" s="6" t="s">
        <v>15</v>
      </c>
      <c r="B4446" s="6" t="str">
        <f>"080002318079"</f>
        <v>080002318079</v>
      </c>
      <c r="C4446" s="7">
        <v>43619</v>
      </c>
      <c r="D4446" s="6">
        <v>1</v>
      </c>
      <c r="E4446" s="6" t="s">
        <v>4975</v>
      </c>
      <c r="F4446" s="6" t="s">
        <v>16</v>
      </c>
      <c r="G4446" s="6" t="s">
        <v>290</v>
      </c>
      <c r="H4446" s="6" t="s">
        <v>43</v>
      </c>
      <c r="I4446" s="6" t="s">
        <v>44</v>
      </c>
      <c r="J4446" s="6" t="s">
        <v>4976</v>
      </c>
      <c r="K4446" s="6" t="s">
        <v>1730</v>
      </c>
      <c r="L4446" s="6"/>
      <c r="M4446" s="6" t="s">
        <v>1731</v>
      </c>
      <c r="N4446" s="6" t="s">
        <v>4898</v>
      </c>
      <c r="O4446" s="6" t="s">
        <v>4977</v>
      </c>
    </row>
    <row r="4447" spans="1:15" hidden="1">
      <c r="A4447" s="6" t="s">
        <v>15</v>
      </c>
      <c r="B4447" s="6" t="str">
        <f>"FES1162693170"</f>
        <v>FES1162693170</v>
      </c>
      <c r="C4447" s="7">
        <v>43619</v>
      </c>
      <c r="D4447" s="6">
        <v>1</v>
      </c>
      <c r="E4447" s="6">
        <v>2170687978</v>
      </c>
      <c r="F4447" s="6" t="s">
        <v>16</v>
      </c>
      <c r="G4447" s="6" t="s">
        <v>17</v>
      </c>
      <c r="H4447" s="6" t="s">
        <v>141</v>
      </c>
      <c r="I4447" s="6" t="s">
        <v>142</v>
      </c>
      <c r="J4447" s="6" t="s">
        <v>1380</v>
      </c>
      <c r="K4447" s="6" t="s">
        <v>1730</v>
      </c>
      <c r="L4447" s="6"/>
      <c r="M4447" s="6" t="s">
        <v>1731</v>
      </c>
      <c r="N4447" s="6" t="s">
        <v>4898</v>
      </c>
      <c r="O4447" s="6" t="s">
        <v>22</v>
      </c>
    </row>
    <row r="4448" spans="1:15" hidden="1">
      <c r="A4448" s="6" t="s">
        <v>15</v>
      </c>
      <c r="B4448" s="6" t="str">
        <f>"FES1162693222"</f>
        <v>FES1162693222</v>
      </c>
      <c r="C4448" s="7">
        <v>43619</v>
      </c>
      <c r="D4448" s="6">
        <v>1</v>
      </c>
      <c r="E4448" s="6">
        <v>2170691412</v>
      </c>
      <c r="F4448" s="6" t="s">
        <v>16</v>
      </c>
      <c r="G4448" s="6" t="s">
        <v>17</v>
      </c>
      <c r="H4448" s="6" t="s">
        <v>141</v>
      </c>
      <c r="I4448" s="6" t="s">
        <v>142</v>
      </c>
      <c r="J4448" s="6" t="s">
        <v>228</v>
      </c>
      <c r="K4448" s="6" t="s">
        <v>1730</v>
      </c>
      <c r="L4448" s="6"/>
      <c r="M4448" s="6" t="s">
        <v>1731</v>
      </c>
      <c r="N4448" s="6" t="s">
        <v>4898</v>
      </c>
      <c r="O4448" s="6" t="s">
        <v>22</v>
      </c>
    </row>
    <row r="4449" spans="1:15">
      <c r="A4449" s="6" t="s">
        <v>15</v>
      </c>
      <c r="B4449" s="6" t="str">
        <f>"019911311346"</f>
        <v>019911311346</v>
      </c>
      <c r="C4449" s="7">
        <v>43619</v>
      </c>
      <c r="D4449" s="6">
        <v>1</v>
      </c>
      <c r="E4449" s="6">
        <v>1703</v>
      </c>
      <c r="F4449" s="6" t="s">
        <v>4286</v>
      </c>
      <c r="G4449" s="6" t="s">
        <v>43</v>
      </c>
      <c r="H4449" s="6" t="s">
        <v>17</v>
      </c>
      <c r="I4449" s="6" t="s">
        <v>64</v>
      </c>
      <c r="J4449" s="6" t="s">
        <v>1062</v>
      </c>
      <c r="K4449" s="6" t="s">
        <v>1730</v>
      </c>
      <c r="L4449" s="6"/>
      <c r="M4449" s="6" t="s">
        <v>1731</v>
      </c>
      <c r="N4449" s="6" t="s">
        <v>4898</v>
      </c>
      <c r="O4449" s="6" t="s">
        <v>22</v>
      </c>
    </row>
    <row r="4450" spans="1:15" hidden="1">
      <c r="A4450" s="6" t="s">
        <v>15</v>
      </c>
      <c r="B4450" s="6" t="str">
        <f>"FES1162693087"</f>
        <v>FES1162693087</v>
      </c>
      <c r="C4450" s="7">
        <v>43619</v>
      </c>
      <c r="D4450" s="6">
        <v>1</v>
      </c>
      <c r="E4450" s="6">
        <v>2170691344</v>
      </c>
      <c r="F4450" s="6" t="s">
        <v>16</v>
      </c>
      <c r="G4450" s="6" t="s">
        <v>17</v>
      </c>
      <c r="H4450" s="6" t="s">
        <v>141</v>
      </c>
      <c r="I4450" s="6" t="s">
        <v>433</v>
      </c>
      <c r="J4450" s="6" t="s">
        <v>609</v>
      </c>
      <c r="K4450" s="6" t="s">
        <v>1730</v>
      </c>
      <c r="L4450" s="6"/>
      <c r="M4450" s="6" t="s">
        <v>1731</v>
      </c>
      <c r="N4450" s="6" t="s">
        <v>4898</v>
      </c>
      <c r="O4450" s="6" t="s">
        <v>22</v>
      </c>
    </row>
    <row r="4451" spans="1:15">
      <c r="A4451" s="6" t="s">
        <v>15</v>
      </c>
      <c r="B4451" s="6" t="str">
        <f>"FES1162693085"</f>
        <v>FES1162693085</v>
      </c>
      <c r="C4451" s="7">
        <v>43619</v>
      </c>
      <c r="D4451" s="6">
        <v>1</v>
      </c>
      <c r="E4451" s="6">
        <v>2170689744</v>
      </c>
      <c r="F4451" s="6" t="s">
        <v>16</v>
      </c>
      <c r="G4451" s="6" t="s">
        <v>17</v>
      </c>
      <c r="H4451" s="6" t="s">
        <v>17</v>
      </c>
      <c r="I4451" s="6" t="s">
        <v>23</v>
      </c>
      <c r="J4451" s="6" t="s">
        <v>479</v>
      </c>
      <c r="K4451" s="6" t="s">
        <v>1730</v>
      </c>
      <c r="L4451" s="6"/>
      <c r="M4451" s="6" t="s">
        <v>1731</v>
      </c>
      <c r="N4451" s="6" t="s">
        <v>4898</v>
      </c>
      <c r="O4451" s="6" t="s">
        <v>22</v>
      </c>
    </row>
    <row r="4452" spans="1:15" hidden="1">
      <c r="A4452" s="6" t="s">
        <v>15</v>
      </c>
      <c r="B4452" s="6" t="str">
        <f>"FES1162693032"</f>
        <v>FES1162693032</v>
      </c>
      <c r="C4452" s="7">
        <v>43619</v>
      </c>
      <c r="D4452" s="6">
        <v>1</v>
      </c>
      <c r="E4452" s="6">
        <v>2170690550</v>
      </c>
      <c r="F4452" s="6" t="s">
        <v>16</v>
      </c>
      <c r="G4452" s="6" t="s">
        <v>17</v>
      </c>
      <c r="H4452" s="6" t="s">
        <v>141</v>
      </c>
      <c r="I4452" s="6" t="s">
        <v>142</v>
      </c>
      <c r="J4452" s="6" t="s">
        <v>4978</v>
      </c>
      <c r="K4452" s="6" t="s">
        <v>1730</v>
      </c>
      <c r="L4452" s="6"/>
      <c r="M4452" s="6" t="s">
        <v>1731</v>
      </c>
      <c r="N4452" s="6" t="s">
        <v>4898</v>
      </c>
      <c r="O4452" s="6" t="s">
        <v>22</v>
      </c>
    </row>
    <row r="4453" spans="1:15">
      <c r="A4453" s="6" t="s">
        <v>15</v>
      </c>
      <c r="B4453" s="6" t="str">
        <f>"FES1162693144"</f>
        <v>FES1162693144</v>
      </c>
      <c r="C4453" s="7">
        <v>43619</v>
      </c>
      <c r="D4453" s="6">
        <v>1</v>
      </c>
      <c r="E4453" s="6">
        <v>2170691373</v>
      </c>
      <c r="F4453" s="6" t="s">
        <v>16</v>
      </c>
      <c r="G4453" s="6" t="s">
        <v>17</v>
      </c>
      <c r="H4453" s="6" t="s">
        <v>17</v>
      </c>
      <c r="I4453" s="6" t="s">
        <v>613</v>
      </c>
      <c r="J4453" s="6" t="s">
        <v>4979</v>
      </c>
      <c r="K4453" s="6" t="s">
        <v>1730</v>
      </c>
      <c r="L4453" s="6"/>
      <c r="M4453" s="6" t="s">
        <v>1731</v>
      </c>
      <c r="N4453" s="6" t="s">
        <v>4898</v>
      </c>
      <c r="O4453" s="6" t="s">
        <v>22</v>
      </c>
    </row>
    <row r="4454" spans="1:15" hidden="1">
      <c r="A4454" s="6" t="s">
        <v>15</v>
      </c>
      <c r="B4454" s="6" t="str">
        <f>"FES1162693053"</f>
        <v>FES1162693053</v>
      </c>
      <c r="C4454" s="7">
        <v>43619</v>
      </c>
      <c r="D4454" s="6">
        <v>1</v>
      </c>
      <c r="E4454" s="6">
        <v>217091328</v>
      </c>
      <c r="F4454" s="6" t="s">
        <v>16</v>
      </c>
      <c r="G4454" s="6" t="s">
        <v>17</v>
      </c>
      <c r="H4454" s="6" t="s">
        <v>322</v>
      </c>
      <c r="I4454" s="6" t="s">
        <v>618</v>
      </c>
      <c r="J4454" s="6" t="s">
        <v>619</v>
      </c>
      <c r="K4454" s="6" t="s">
        <v>1730</v>
      </c>
      <c r="L4454" s="6"/>
      <c r="M4454" s="6" t="s">
        <v>1731</v>
      </c>
      <c r="N4454" s="6" t="s">
        <v>4898</v>
      </c>
      <c r="O4454" s="6" t="s">
        <v>22</v>
      </c>
    </row>
    <row r="4455" spans="1:15" hidden="1">
      <c r="A4455" s="6" t="s">
        <v>15</v>
      </c>
      <c r="B4455" s="6" t="str">
        <f>"FES1162693027"</f>
        <v>FES1162693027</v>
      </c>
      <c r="C4455" s="7">
        <v>43619</v>
      </c>
      <c r="D4455" s="6">
        <v>1</v>
      </c>
      <c r="E4455" s="6">
        <v>2170689872</v>
      </c>
      <c r="F4455" s="6" t="s">
        <v>16</v>
      </c>
      <c r="G4455" s="6" t="s">
        <v>17</v>
      </c>
      <c r="H4455" s="6" t="s">
        <v>141</v>
      </c>
      <c r="I4455" s="6" t="s">
        <v>185</v>
      </c>
      <c r="J4455" s="6" t="s">
        <v>473</v>
      </c>
      <c r="K4455" s="6" t="s">
        <v>1730</v>
      </c>
      <c r="L4455" s="6"/>
      <c r="M4455" s="6" t="s">
        <v>1731</v>
      </c>
      <c r="N4455" s="6" t="s">
        <v>4898</v>
      </c>
      <c r="O4455" s="6" t="s">
        <v>22</v>
      </c>
    </row>
    <row r="4456" spans="1:15">
      <c r="A4456" s="6" t="s">
        <v>15</v>
      </c>
      <c r="B4456" s="6" t="str">
        <f>"FES1162693093"</f>
        <v>FES1162693093</v>
      </c>
      <c r="C4456" s="7">
        <v>43619</v>
      </c>
      <c r="D4456" s="6">
        <v>1</v>
      </c>
      <c r="E4456" s="6">
        <v>2170684823</v>
      </c>
      <c r="F4456" s="6" t="s">
        <v>16</v>
      </c>
      <c r="G4456" s="6" t="s">
        <v>17</v>
      </c>
      <c r="H4456" s="6" t="s">
        <v>17</v>
      </c>
      <c r="I4456" s="6" t="s">
        <v>18</v>
      </c>
      <c r="J4456" s="6" t="s">
        <v>89</v>
      </c>
      <c r="K4456" s="6" t="s">
        <v>1730</v>
      </c>
      <c r="L4456" s="6"/>
      <c r="M4456" s="6" t="s">
        <v>1731</v>
      </c>
      <c r="N4456" s="6" t="s">
        <v>4898</v>
      </c>
      <c r="O4456" s="6" t="s">
        <v>22</v>
      </c>
    </row>
    <row r="4457" spans="1:15" hidden="1">
      <c r="A4457" s="6" t="s">
        <v>15</v>
      </c>
      <c r="B4457" s="6" t="str">
        <f>"FES1162693078"</f>
        <v>FES1162693078</v>
      </c>
      <c r="C4457" s="7">
        <v>43619</v>
      </c>
      <c r="D4457" s="6">
        <v>1</v>
      </c>
      <c r="E4457" s="6">
        <v>2170688951</v>
      </c>
      <c r="F4457" s="6" t="s">
        <v>16</v>
      </c>
      <c r="G4457" s="6" t="s">
        <v>17</v>
      </c>
      <c r="H4457" s="6" t="s">
        <v>141</v>
      </c>
      <c r="I4457" s="6" t="s">
        <v>142</v>
      </c>
      <c r="J4457" s="6" t="s">
        <v>3917</v>
      </c>
      <c r="K4457" s="6" t="s">
        <v>1730</v>
      </c>
      <c r="L4457" s="6"/>
      <c r="M4457" s="6" t="s">
        <v>1731</v>
      </c>
      <c r="N4457" s="6" t="s">
        <v>4898</v>
      </c>
      <c r="O4457" s="6" t="s">
        <v>22</v>
      </c>
    </row>
    <row r="4458" spans="1:15" hidden="1">
      <c r="A4458" s="6" t="s">
        <v>15</v>
      </c>
      <c r="B4458" s="6" t="str">
        <f>"FES1162693040"</f>
        <v>FES1162693040</v>
      </c>
      <c r="C4458" s="7">
        <v>43619</v>
      </c>
      <c r="D4458" s="6">
        <v>1</v>
      </c>
      <c r="E4458" s="6">
        <v>2170691299</v>
      </c>
      <c r="F4458" s="6" t="s">
        <v>16</v>
      </c>
      <c r="G4458" s="6" t="s">
        <v>17</v>
      </c>
      <c r="H4458" s="6" t="s">
        <v>141</v>
      </c>
      <c r="I4458" s="6" t="s">
        <v>185</v>
      </c>
      <c r="J4458" s="6" t="s">
        <v>515</v>
      </c>
      <c r="K4458" s="6" t="s">
        <v>1730</v>
      </c>
      <c r="L4458" s="6"/>
      <c r="M4458" s="6" t="s">
        <v>1731</v>
      </c>
      <c r="N4458" s="6" t="s">
        <v>4898</v>
      </c>
      <c r="O4458" s="6" t="s">
        <v>22</v>
      </c>
    </row>
    <row r="4459" spans="1:15" hidden="1">
      <c r="A4459" s="6" t="s">
        <v>15</v>
      </c>
      <c r="B4459" s="6" t="str">
        <f>"FES1162693041"</f>
        <v>FES1162693041</v>
      </c>
      <c r="C4459" s="7">
        <v>43619</v>
      </c>
      <c r="D4459" s="6">
        <v>1</v>
      </c>
      <c r="E4459" s="6">
        <v>2170691300</v>
      </c>
      <c r="F4459" s="6" t="s">
        <v>16</v>
      </c>
      <c r="G4459" s="6" t="s">
        <v>17</v>
      </c>
      <c r="H4459" s="6" t="s">
        <v>141</v>
      </c>
      <c r="I4459" s="6" t="s">
        <v>142</v>
      </c>
      <c r="J4459" s="6" t="s">
        <v>2313</v>
      </c>
      <c r="K4459" s="6" t="s">
        <v>1730</v>
      </c>
      <c r="L4459" s="6"/>
      <c r="M4459" s="6" t="s">
        <v>1731</v>
      </c>
      <c r="N4459" s="6" t="s">
        <v>4898</v>
      </c>
      <c r="O4459" s="6" t="s">
        <v>22</v>
      </c>
    </row>
    <row r="4460" spans="1:15" hidden="1">
      <c r="A4460" s="6" t="s">
        <v>15</v>
      </c>
      <c r="B4460" s="6" t="str">
        <f>"FES1162693137"</f>
        <v>FES1162693137</v>
      </c>
      <c r="C4460" s="7">
        <v>43619</v>
      </c>
      <c r="D4460" s="6">
        <v>1</v>
      </c>
      <c r="E4460" s="6">
        <v>2170690938</v>
      </c>
      <c r="F4460" s="6" t="s">
        <v>16</v>
      </c>
      <c r="G4460" s="6" t="s">
        <v>17</v>
      </c>
      <c r="H4460" s="6" t="s">
        <v>32</v>
      </c>
      <c r="I4460" s="6" t="s">
        <v>1198</v>
      </c>
      <c r="J4460" s="6" t="s">
        <v>1199</v>
      </c>
      <c r="K4460" s="6" t="s">
        <v>1730</v>
      </c>
      <c r="L4460" s="6"/>
      <c r="M4460" s="6" t="s">
        <v>1731</v>
      </c>
      <c r="N4460" s="6" t="s">
        <v>4898</v>
      </c>
      <c r="O4460" s="6" t="s">
        <v>22</v>
      </c>
    </row>
    <row r="4461" spans="1:15" hidden="1">
      <c r="A4461" s="6" t="s">
        <v>15</v>
      </c>
      <c r="B4461" s="6" t="str">
        <f>"FES1162693038"</f>
        <v>FES1162693038</v>
      </c>
      <c r="C4461" s="7">
        <v>43619</v>
      </c>
      <c r="D4461" s="6">
        <v>1</v>
      </c>
      <c r="E4461" s="6">
        <v>2170691290</v>
      </c>
      <c r="F4461" s="6" t="s">
        <v>16</v>
      </c>
      <c r="G4461" s="6" t="s">
        <v>17</v>
      </c>
      <c r="H4461" s="6" t="s">
        <v>132</v>
      </c>
      <c r="I4461" s="6" t="s">
        <v>133</v>
      </c>
      <c r="J4461" s="6" t="s">
        <v>639</v>
      </c>
      <c r="K4461" s="6" t="s">
        <v>1730</v>
      </c>
      <c r="L4461" s="6"/>
      <c r="M4461" s="6" t="s">
        <v>1731</v>
      </c>
      <c r="N4461" s="6" t="s">
        <v>4898</v>
      </c>
      <c r="O4461" s="6" t="s">
        <v>22</v>
      </c>
    </row>
    <row r="4462" spans="1:15" hidden="1">
      <c r="A4462" s="6" t="s">
        <v>15</v>
      </c>
      <c r="B4462" s="6" t="str">
        <f>"FES1162693082"</f>
        <v>FES1162693082</v>
      </c>
      <c r="C4462" s="7">
        <v>43619</v>
      </c>
      <c r="D4462" s="6">
        <v>1</v>
      </c>
      <c r="E4462" s="6">
        <v>217069625</v>
      </c>
      <c r="F4462" s="6" t="s">
        <v>16</v>
      </c>
      <c r="G4462" s="6" t="s">
        <v>17</v>
      </c>
      <c r="H4462" s="6" t="s">
        <v>290</v>
      </c>
      <c r="I4462" s="6" t="s">
        <v>309</v>
      </c>
      <c r="J4462" s="6" t="s">
        <v>331</v>
      </c>
      <c r="K4462" s="6" t="s">
        <v>1730</v>
      </c>
      <c r="L4462" s="6"/>
      <c r="M4462" s="6" t="s">
        <v>1731</v>
      </c>
      <c r="N4462" s="6" t="s">
        <v>4898</v>
      </c>
      <c r="O4462" s="6" t="s">
        <v>22</v>
      </c>
    </row>
    <row r="4463" spans="1:15" hidden="1">
      <c r="A4463" s="6" t="s">
        <v>15</v>
      </c>
      <c r="B4463" s="6" t="str">
        <f>"FES1162693110"</f>
        <v>FES1162693110</v>
      </c>
      <c r="C4463" s="7">
        <v>43619</v>
      </c>
      <c r="D4463" s="6">
        <v>1</v>
      </c>
      <c r="E4463" s="6">
        <v>2170689172</v>
      </c>
      <c r="F4463" s="6" t="s">
        <v>16</v>
      </c>
      <c r="G4463" s="6" t="s">
        <v>17</v>
      </c>
      <c r="H4463" s="6" t="s">
        <v>290</v>
      </c>
      <c r="I4463" s="6" t="s">
        <v>601</v>
      </c>
      <c r="J4463" s="6" t="s">
        <v>602</v>
      </c>
      <c r="K4463" s="6" t="s">
        <v>1730</v>
      </c>
      <c r="L4463" s="6"/>
      <c r="M4463" s="6" t="s">
        <v>1731</v>
      </c>
      <c r="N4463" s="6" t="s">
        <v>4898</v>
      </c>
      <c r="O4463" s="6" t="s">
        <v>22</v>
      </c>
    </row>
    <row r="4464" spans="1:15" hidden="1">
      <c r="A4464" s="6" t="s">
        <v>15</v>
      </c>
      <c r="B4464" s="6" t="str">
        <f>"FES1162693136"</f>
        <v>FES1162693136</v>
      </c>
      <c r="C4464" s="7">
        <v>43619</v>
      </c>
      <c r="D4464" s="6">
        <v>1</v>
      </c>
      <c r="E4464" s="6">
        <v>2170691367</v>
      </c>
      <c r="F4464" s="6" t="s">
        <v>16</v>
      </c>
      <c r="G4464" s="6" t="s">
        <v>17</v>
      </c>
      <c r="H4464" s="6" t="s">
        <v>141</v>
      </c>
      <c r="I4464" s="6" t="s">
        <v>142</v>
      </c>
      <c r="J4464" s="6" t="s">
        <v>2719</v>
      </c>
      <c r="K4464" s="6" t="s">
        <v>1730</v>
      </c>
      <c r="L4464" s="6"/>
      <c r="M4464" s="6" t="s">
        <v>1731</v>
      </c>
      <c r="N4464" s="6" t="s">
        <v>4898</v>
      </c>
      <c r="O4464" s="6" t="s">
        <v>22</v>
      </c>
    </row>
    <row r="4465" spans="1:15" hidden="1">
      <c r="A4465" s="6" t="s">
        <v>15</v>
      </c>
      <c r="B4465" s="6" t="str">
        <f>"FES1162693139"</f>
        <v>FES1162693139</v>
      </c>
      <c r="C4465" s="7">
        <v>43619</v>
      </c>
      <c r="D4465" s="6">
        <v>1</v>
      </c>
      <c r="E4465" s="6">
        <v>2170691363</v>
      </c>
      <c r="F4465" s="6" t="s">
        <v>16</v>
      </c>
      <c r="G4465" s="6" t="s">
        <v>17</v>
      </c>
      <c r="H4465" s="6" t="s">
        <v>141</v>
      </c>
      <c r="I4465" s="6" t="s">
        <v>142</v>
      </c>
      <c r="J4465" s="6" t="s">
        <v>1718</v>
      </c>
      <c r="K4465" s="6" t="s">
        <v>1730</v>
      </c>
      <c r="L4465" s="6"/>
      <c r="M4465" s="6" t="s">
        <v>1731</v>
      </c>
      <c r="N4465" s="6" t="s">
        <v>4898</v>
      </c>
      <c r="O4465" s="6" t="s">
        <v>22</v>
      </c>
    </row>
    <row r="4466" spans="1:15">
      <c r="A4466" s="6" t="s">
        <v>15</v>
      </c>
      <c r="B4466" s="6" t="str">
        <f>"FES1162693070"</f>
        <v>FES1162693070</v>
      </c>
      <c r="C4466" s="7">
        <v>43619</v>
      </c>
      <c r="D4466" s="6">
        <v>1</v>
      </c>
      <c r="E4466" s="6">
        <v>2170694823</v>
      </c>
      <c r="F4466" s="6" t="s">
        <v>16</v>
      </c>
      <c r="G4466" s="6" t="s">
        <v>17</v>
      </c>
      <c r="H4466" s="6" t="s">
        <v>17</v>
      </c>
      <c r="I4466" s="6" t="s">
        <v>18</v>
      </c>
      <c r="J4466" s="6" t="s">
        <v>89</v>
      </c>
      <c r="K4466" s="6" t="s">
        <v>1730</v>
      </c>
      <c r="L4466" s="6"/>
      <c r="M4466" s="6" t="s">
        <v>1731</v>
      </c>
      <c r="N4466" s="6" t="s">
        <v>4898</v>
      </c>
      <c r="O4466" s="6" t="s">
        <v>22</v>
      </c>
    </row>
    <row r="4467" spans="1:15">
      <c r="A4467" s="6" t="s">
        <v>15</v>
      </c>
      <c r="B4467" s="6" t="str">
        <f>"FES1162693068"</f>
        <v>FES1162693068</v>
      </c>
      <c r="C4467" s="7">
        <v>43619</v>
      </c>
      <c r="D4467" s="6">
        <v>1</v>
      </c>
      <c r="E4467" s="6">
        <v>2170691341</v>
      </c>
      <c r="F4467" s="6" t="s">
        <v>16</v>
      </c>
      <c r="G4467" s="6" t="s">
        <v>17</v>
      </c>
      <c r="H4467" s="6" t="s">
        <v>17</v>
      </c>
      <c r="I4467" s="6" t="s">
        <v>64</v>
      </c>
      <c r="J4467" s="6" t="s">
        <v>116</v>
      </c>
      <c r="K4467" s="6" t="s">
        <v>1730</v>
      </c>
      <c r="L4467" s="6"/>
      <c r="M4467" s="6" t="s">
        <v>1731</v>
      </c>
      <c r="N4467" s="6" t="s">
        <v>4898</v>
      </c>
      <c r="O4467" s="6" t="s">
        <v>22</v>
      </c>
    </row>
    <row r="4468" spans="1:15" hidden="1">
      <c r="A4468" s="6" t="s">
        <v>15</v>
      </c>
      <c r="B4468" s="6" t="str">
        <f>"FES1162693044"</f>
        <v>FES1162693044</v>
      </c>
      <c r="C4468" s="7">
        <v>43619</v>
      </c>
      <c r="D4468" s="6">
        <v>1</v>
      </c>
      <c r="E4468" s="6">
        <v>2170691315</v>
      </c>
      <c r="F4468" s="6" t="s">
        <v>16</v>
      </c>
      <c r="G4468" s="6" t="s">
        <v>17</v>
      </c>
      <c r="H4468" s="6" t="s">
        <v>132</v>
      </c>
      <c r="I4468" s="6" t="s">
        <v>133</v>
      </c>
      <c r="J4468" s="6" t="s">
        <v>238</v>
      </c>
      <c r="K4468" s="6" t="s">
        <v>1730</v>
      </c>
      <c r="L4468" s="6"/>
      <c r="M4468" s="6" t="s">
        <v>1731</v>
      </c>
      <c r="N4468" s="6" t="s">
        <v>4898</v>
      </c>
      <c r="O4468" s="6" t="s">
        <v>22</v>
      </c>
    </row>
    <row r="4469" spans="1:15" hidden="1">
      <c r="A4469" s="6" t="s">
        <v>15</v>
      </c>
      <c r="B4469" s="6" t="str">
        <f>"FES1162693143"</f>
        <v>FES1162693143</v>
      </c>
      <c r="C4469" s="7">
        <v>43619</v>
      </c>
      <c r="D4469" s="6">
        <v>1</v>
      </c>
      <c r="E4469" s="6">
        <v>2170691372</v>
      </c>
      <c r="F4469" s="6" t="s">
        <v>16</v>
      </c>
      <c r="G4469" s="6" t="s">
        <v>17</v>
      </c>
      <c r="H4469" s="6" t="s">
        <v>290</v>
      </c>
      <c r="I4469" s="6" t="s">
        <v>291</v>
      </c>
      <c r="J4469" s="6" t="s">
        <v>1030</v>
      </c>
      <c r="K4469" s="6" t="s">
        <v>1730</v>
      </c>
      <c r="L4469" s="6"/>
      <c r="M4469" s="6" t="s">
        <v>1731</v>
      </c>
      <c r="N4469" s="6" t="s">
        <v>4898</v>
      </c>
      <c r="O4469" s="6" t="s">
        <v>22</v>
      </c>
    </row>
    <row r="4470" spans="1:15" hidden="1">
      <c r="A4470" s="6" t="s">
        <v>15</v>
      </c>
      <c r="B4470" s="6" t="str">
        <f>"FES1162693202"</f>
        <v>FES1162693202</v>
      </c>
      <c r="C4470" s="7">
        <v>43619</v>
      </c>
      <c r="D4470" s="6">
        <v>1</v>
      </c>
      <c r="E4470" s="6">
        <v>2170691258</v>
      </c>
      <c r="F4470" s="6" t="s">
        <v>16</v>
      </c>
      <c r="G4470" s="6" t="s">
        <v>17</v>
      </c>
      <c r="H4470" s="6" t="s">
        <v>32</v>
      </c>
      <c r="I4470" s="6" t="s">
        <v>33</v>
      </c>
      <c r="J4470" s="6" t="s">
        <v>34</v>
      </c>
      <c r="K4470" s="6" t="s">
        <v>1730</v>
      </c>
      <c r="L4470" s="6"/>
      <c r="M4470" s="6" t="s">
        <v>1731</v>
      </c>
      <c r="N4470" s="6" t="s">
        <v>4898</v>
      </c>
      <c r="O4470" s="6" t="s">
        <v>22</v>
      </c>
    </row>
    <row r="4471" spans="1:15" hidden="1">
      <c r="A4471" s="6" t="s">
        <v>15</v>
      </c>
      <c r="B4471" s="6" t="str">
        <f>"FES1162693112"</f>
        <v>FES1162693112</v>
      </c>
      <c r="C4471" s="7">
        <v>43619</v>
      </c>
      <c r="D4471" s="6">
        <v>1</v>
      </c>
      <c r="E4471" s="6">
        <v>217069186</v>
      </c>
      <c r="F4471" s="6" t="s">
        <v>16</v>
      </c>
      <c r="G4471" s="6" t="s">
        <v>17</v>
      </c>
      <c r="H4471" s="6" t="s">
        <v>37</v>
      </c>
      <c r="I4471" s="6" t="s">
        <v>38</v>
      </c>
      <c r="J4471" s="6" t="s">
        <v>39</v>
      </c>
      <c r="K4471" s="6" t="s">
        <v>1730</v>
      </c>
      <c r="L4471" s="6"/>
      <c r="M4471" s="6" t="s">
        <v>1731</v>
      </c>
      <c r="N4471" s="6" t="s">
        <v>4898</v>
      </c>
      <c r="O4471" s="6" t="s">
        <v>22</v>
      </c>
    </row>
    <row r="4472" spans="1:15" hidden="1">
      <c r="A4472" s="6" t="s">
        <v>15</v>
      </c>
      <c r="B4472" s="6" t="str">
        <f>"FES1162693107"</f>
        <v>FES1162693107</v>
      </c>
      <c r="C4472" s="7">
        <v>43619</v>
      </c>
      <c r="D4472" s="6">
        <v>1</v>
      </c>
      <c r="E4472" s="6">
        <v>2170689137</v>
      </c>
      <c r="F4472" s="6" t="s">
        <v>16</v>
      </c>
      <c r="G4472" s="6" t="s">
        <v>17</v>
      </c>
      <c r="H4472" s="6" t="s">
        <v>32</v>
      </c>
      <c r="I4472" s="6" t="s">
        <v>33</v>
      </c>
      <c r="J4472" s="6" t="s">
        <v>832</v>
      </c>
      <c r="K4472" s="6" t="s">
        <v>1730</v>
      </c>
      <c r="L4472" s="6"/>
      <c r="M4472" s="6" t="s">
        <v>1731</v>
      </c>
      <c r="N4472" s="6" t="s">
        <v>4898</v>
      </c>
      <c r="O4472" s="6" t="s">
        <v>22</v>
      </c>
    </row>
    <row r="4473" spans="1:15" hidden="1">
      <c r="A4473" s="6" t="s">
        <v>15</v>
      </c>
      <c r="B4473" s="6" t="str">
        <f>"FES1162693064"</f>
        <v>FES1162693064</v>
      </c>
      <c r="C4473" s="7">
        <v>43619</v>
      </c>
      <c r="D4473" s="6">
        <v>1</v>
      </c>
      <c r="E4473" s="6">
        <v>2170691336</v>
      </c>
      <c r="F4473" s="6" t="s">
        <v>16</v>
      </c>
      <c r="G4473" s="6" t="s">
        <v>17</v>
      </c>
      <c r="H4473" s="6" t="s">
        <v>32</v>
      </c>
      <c r="I4473" s="6" t="s">
        <v>33</v>
      </c>
      <c r="J4473" s="6" t="s">
        <v>357</v>
      </c>
      <c r="K4473" s="6" t="s">
        <v>1730</v>
      </c>
      <c r="L4473" s="6"/>
      <c r="M4473" s="6" t="s">
        <v>1731</v>
      </c>
      <c r="N4473" s="6" t="s">
        <v>4898</v>
      </c>
      <c r="O4473" s="6" t="s">
        <v>22</v>
      </c>
    </row>
    <row r="4474" spans="1:15" hidden="1">
      <c r="A4474" s="6" t="s">
        <v>15</v>
      </c>
      <c r="B4474" s="6" t="str">
        <f>"FES1162693147"</f>
        <v>FES1162693147</v>
      </c>
      <c r="C4474" s="7">
        <v>43619</v>
      </c>
      <c r="D4474" s="6">
        <v>1</v>
      </c>
      <c r="E4474" s="6">
        <v>2170691243</v>
      </c>
      <c r="F4474" s="6" t="s">
        <v>16</v>
      </c>
      <c r="G4474" s="6" t="s">
        <v>17</v>
      </c>
      <c r="H4474" s="6" t="s">
        <v>32</v>
      </c>
      <c r="I4474" s="6" t="s">
        <v>1198</v>
      </c>
      <c r="J4474" s="6" t="s">
        <v>1199</v>
      </c>
      <c r="K4474" s="6" t="s">
        <v>1730</v>
      </c>
      <c r="L4474" s="6"/>
      <c r="M4474" s="6" t="s">
        <v>1731</v>
      </c>
      <c r="N4474" s="6" t="s">
        <v>4898</v>
      </c>
      <c r="O4474" s="6" t="s">
        <v>22</v>
      </c>
    </row>
    <row r="4475" spans="1:15" hidden="1">
      <c r="A4475" s="6" t="s">
        <v>15</v>
      </c>
      <c r="B4475" s="6" t="str">
        <f>"FES1162693035"</f>
        <v>FES1162693035</v>
      </c>
      <c r="C4475" s="7">
        <v>43619</v>
      </c>
      <c r="D4475" s="6">
        <v>1</v>
      </c>
      <c r="E4475" s="6">
        <v>2170690694</v>
      </c>
      <c r="F4475" s="6" t="s">
        <v>16</v>
      </c>
      <c r="G4475" s="6" t="s">
        <v>17</v>
      </c>
      <c r="H4475" s="6" t="s">
        <v>32</v>
      </c>
      <c r="I4475" s="6" t="s">
        <v>1207</v>
      </c>
      <c r="J4475" s="6" t="s">
        <v>1208</v>
      </c>
      <c r="K4475" s="6" t="s">
        <v>1730</v>
      </c>
      <c r="L4475" s="6"/>
      <c r="M4475" s="6" t="s">
        <v>1731</v>
      </c>
      <c r="N4475" s="6" t="s">
        <v>4898</v>
      </c>
      <c r="O4475" s="6" t="s">
        <v>22</v>
      </c>
    </row>
    <row r="4476" spans="1:15">
      <c r="A4476" s="6" t="s">
        <v>15</v>
      </c>
      <c r="B4476" s="6" t="str">
        <f>"FES1162693084"</f>
        <v>FES1162693084</v>
      </c>
      <c r="C4476" s="7">
        <v>43619</v>
      </c>
      <c r="D4476" s="6">
        <v>1</v>
      </c>
      <c r="E4476" s="6">
        <v>2170689741</v>
      </c>
      <c r="F4476" s="6" t="s">
        <v>16</v>
      </c>
      <c r="G4476" s="6" t="s">
        <v>17</v>
      </c>
      <c r="H4476" s="6" t="s">
        <v>17</v>
      </c>
      <c r="I4476" s="6" t="s">
        <v>148</v>
      </c>
      <c r="J4476" s="6" t="s">
        <v>164</v>
      </c>
      <c r="K4476" s="6" t="s">
        <v>1730</v>
      </c>
      <c r="L4476" s="6"/>
      <c r="M4476" s="6" t="s">
        <v>1731</v>
      </c>
      <c r="N4476" s="6" t="s">
        <v>4898</v>
      </c>
      <c r="O4476" s="6" t="s">
        <v>22</v>
      </c>
    </row>
    <row r="4477" spans="1:15" hidden="1">
      <c r="A4477" s="6" t="s">
        <v>15</v>
      </c>
      <c r="B4477" s="6" t="str">
        <f>"FES1162693058"</f>
        <v>FES1162693058</v>
      </c>
      <c r="C4477" s="7">
        <v>43619</v>
      </c>
      <c r="D4477" s="6">
        <v>1</v>
      </c>
      <c r="E4477" s="6">
        <v>2170683237</v>
      </c>
      <c r="F4477" s="6" t="s">
        <v>16</v>
      </c>
      <c r="G4477" s="6" t="s">
        <v>17</v>
      </c>
      <c r="H4477" s="6" t="s">
        <v>43</v>
      </c>
      <c r="I4477" s="6" t="s">
        <v>44</v>
      </c>
      <c r="J4477" s="6" t="s">
        <v>4980</v>
      </c>
      <c r="K4477" s="6" t="s">
        <v>1730</v>
      </c>
      <c r="L4477" s="6"/>
      <c r="M4477" s="6" t="s">
        <v>1731</v>
      </c>
      <c r="N4477" s="6" t="s">
        <v>4898</v>
      </c>
      <c r="O4477" s="6" t="s">
        <v>22</v>
      </c>
    </row>
    <row r="4478" spans="1:15" hidden="1">
      <c r="A4478" s="6" t="s">
        <v>15</v>
      </c>
      <c r="B4478" s="6" t="str">
        <f>"FES1162693115"</f>
        <v>FES1162693115</v>
      </c>
      <c r="C4478" s="7">
        <v>43619</v>
      </c>
      <c r="D4478" s="6">
        <v>1</v>
      </c>
      <c r="E4478" s="6">
        <v>2170689200</v>
      </c>
      <c r="F4478" s="6" t="s">
        <v>16</v>
      </c>
      <c r="G4478" s="6" t="s">
        <v>17</v>
      </c>
      <c r="H4478" s="6" t="s">
        <v>37</v>
      </c>
      <c r="I4478" s="6" t="s">
        <v>38</v>
      </c>
      <c r="J4478" s="6" t="s">
        <v>1771</v>
      </c>
      <c r="K4478" s="6" t="s">
        <v>1730</v>
      </c>
      <c r="L4478" s="6"/>
      <c r="M4478" s="6" t="s">
        <v>1731</v>
      </c>
      <c r="N4478" s="6" t="s">
        <v>4898</v>
      </c>
      <c r="O4478" s="6" t="s">
        <v>22</v>
      </c>
    </row>
    <row r="4479" spans="1:15">
      <c r="A4479" s="6" t="s">
        <v>15</v>
      </c>
      <c r="B4479" s="6" t="str">
        <f>"FES1162693073"</f>
        <v>FES1162693073</v>
      </c>
      <c r="C4479" s="7">
        <v>43619</v>
      </c>
      <c r="D4479" s="6">
        <v>1</v>
      </c>
      <c r="E4479" s="6">
        <v>2170687260</v>
      </c>
      <c r="F4479" s="6" t="s">
        <v>16</v>
      </c>
      <c r="G4479" s="6" t="s">
        <v>17</v>
      </c>
      <c r="H4479" s="6" t="s">
        <v>17</v>
      </c>
      <c r="I4479" s="6" t="s">
        <v>23</v>
      </c>
      <c r="J4479" s="6" t="s">
        <v>4981</v>
      </c>
      <c r="K4479" s="6" t="s">
        <v>1730</v>
      </c>
      <c r="L4479" s="6"/>
      <c r="M4479" s="6" t="s">
        <v>1731</v>
      </c>
      <c r="N4479" s="6" t="s">
        <v>4898</v>
      </c>
      <c r="O4479" s="6" t="s">
        <v>22</v>
      </c>
    </row>
    <row r="4480" spans="1:15" hidden="1">
      <c r="A4480" s="6" t="s">
        <v>15</v>
      </c>
      <c r="B4480" s="6" t="str">
        <f>"FES1162693062"</f>
        <v>FES1162693062</v>
      </c>
      <c r="C4480" s="7">
        <v>43619</v>
      </c>
      <c r="D4480" s="6">
        <v>1</v>
      </c>
      <c r="E4480" s="6">
        <v>2170691334</v>
      </c>
      <c r="F4480" s="6" t="s">
        <v>16</v>
      </c>
      <c r="G4480" s="6" t="s">
        <v>17</v>
      </c>
      <c r="H4480" s="6" t="s">
        <v>32</v>
      </c>
      <c r="I4480" s="6" t="s">
        <v>33</v>
      </c>
      <c r="J4480" s="6" t="s">
        <v>357</v>
      </c>
      <c r="K4480" s="6" t="s">
        <v>1730</v>
      </c>
      <c r="L4480" s="6"/>
      <c r="M4480" s="6" t="s">
        <v>1731</v>
      </c>
      <c r="N4480" s="6" t="s">
        <v>4898</v>
      </c>
      <c r="O4480" s="6" t="s">
        <v>22</v>
      </c>
    </row>
    <row r="4481" spans="1:15" hidden="1">
      <c r="A4481" s="6" t="s">
        <v>15</v>
      </c>
      <c r="B4481" s="6" t="str">
        <f>"FES1162693117"</f>
        <v>FES1162693117</v>
      </c>
      <c r="C4481" s="7">
        <v>43619</v>
      </c>
      <c r="D4481" s="6">
        <v>1</v>
      </c>
      <c r="E4481" s="6">
        <v>2170698214</v>
      </c>
      <c r="F4481" s="6" t="s">
        <v>16</v>
      </c>
      <c r="G4481" s="6" t="s">
        <v>17</v>
      </c>
      <c r="H4481" s="6" t="s">
        <v>32</v>
      </c>
      <c r="I4481" s="6" t="s">
        <v>33</v>
      </c>
      <c r="J4481" s="6" t="s">
        <v>3662</v>
      </c>
      <c r="K4481" s="6" t="s">
        <v>1730</v>
      </c>
      <c r="L4481" s="6"/>
      <c r="M4481" s="6" t="s">
        <v>1731</v>
      </c>
      <c r="N4481" s="6" t="s">
        <v>4898</v>
      </c>
      <c r="O4481" s="6" t="s">
        <v>22</v>
      </c>
    </row>
    <row r="4482" spans="1:15">
      <c r="A4482" s="6" t="s">
        <v>15</v>
      </c>
      <c r="B4482" s="6" t="str">
        <f>"FES1162693099"</f>
        <v>FES1162693099</v>
      </c>
      <c r="C4482" s="7">
        <v>43619</v>
      </c>
      <c r="D4482" s="6">
        <v>1</v>
      </c>
      <c r="E4482" s="6">
        <v>2170688752</v>
      </c>
      <c r="F4482" s="6" t="s">
        <v>16</v>
      </c>
      <c r="G4482" s="6" t="s">
        <v>17</v>
      </c>
      <c r="H4482" s="6" t="s">
        <v>17</v>
      </c>
      <c r="I4482" s="6" t="s">
        <v>23</v>
      </c>
      <c r="J4482" s="6" t="s">
        <v>2591</v>
      </c>
      <c r="K4482" s="6" t="s">
        <v>1730</v>
      </c>
      <c r="L4482" s="6"/>
      <c r="M4482" s="6" t="s">
        <v>1731</v>
      </c>
      <c r="N4482" s="6" t="s">
        <v>4898</v>
      </c>
      <c r="O4482" s="6" t="s">
        <v>22</v>
      </c>
    </row>
    <row r="4483" spans="1:15" hidden="1">
      <c r="A4483" s="6" t="s">
        <v>15</v>
      </c>
      <c r="B4483" s="6" t="str">
        <f>"FES1162693055"</f>
        <v>FES1162693055</v>
      </c>
      <c r="C4483" s="7">
        <v>43619</v>
      </c>
      <c r="D4483" s="6">
        <v>1</v>
      </c>
      <c r="E4483" s="6">
        <v>2170690164</v>
      </c>
      <c r="F4483" s="6" t="s">
        <v>16</v>
      </c>
      <c r="G4483" s="6" t="s">
        <v>17</v>
      </c>
      <c r="H4483" s="6" t="s">
        <v>43</v>
      </c>
      <c r="I4483" s="6" t="s">
        <v>75</v>
      </c>
      <c r="J4483" s="6" t="s">
        <v>76</v>
      </c>
      <c r="K4483" s="6" t="s">
        <v>1730</v>
      </c>
      <c r="L4483" s="6"/>
      <c r="M4483" s="6" t="s">
        <v>1731</v>
      </c>
      <c r="N4483" s="6" t="s">
        <v>4898</v>
      </c>
      <c r="O4483" s="6" t="s">
        <v>22</v>
      </c>
    </row>
    <row r="4484" spans="1:15">
      <c r="A4484" s="6" t="s">
        <v>15</v>
      </c>
      <c r="B4484" s="6" t="str">
        <f>"FES1162693176"</f>
        <v>FES1162693176</v>
      </c>
      <c r="C4484" s="7">
        <v>43619</v>
      </c>
      <c r="D4484" s="6">
        <v>1</v>
      </c>
      <c r="E4484" s="6">
        <v>2170689176</v>
      </c>
      <c r="F4484" s="6" t="s">
        <v>16</v>
      </c>
      <c r="G4484" s="6" t="s">
        <v>17</v>
      </c>
      <c r="H4484" s="6" t="s">
        <v>17</v>
      </c>
      <c r="I4484" s="6" t="s">
        <v>103</v>
      </c>
      <c r="J4484" s="6" t="s">
        <v>104</v>
      </c>
      <c r="K4484" s="6" t="s">
        <v>1730</v>
      </c>
      <c r="L4484" s="6"/>
      <c r="M4484" s="6" t="s">
        <v>1731</v>
      </c>
      <c r="N4484" s="6" t="s">
        <v>4898</v>
      </c>
      <c r="O4484" s="6" t="s">
        <v>22</v>
      </c>
    </row>
    <row r="4485" spans="1:15" hidden="1">
      <c r="A4485" s="6" t="s">
        <v>15</v>
      </c>
      <c r="B4485" s="6" t="str">
        <f>"FES1162693057"</f>
        <v>FES1162693057</v>
      </c>
      <c r="C4485" s="7">
        <v>43619</v>
      </c>
      <c r="D4485" s="6">
        <v>1</v>
      </c>
      <c r="E4485" s="6">
        <v>2170690276</v>
      </c>
      <c r="F4485" s="6" t="s">
        <v>16</v>
      </c>
      <c r="G4485" s="6" t="s">
        <v>17</v>
      </c>
      <c r="H4485" s="6" t="s">
        <v>32</v>
      </c>
      <c r="I4485" s="6" t="s">
        <v>33</v>
      </c>
      <c r="J4485" s="6" t="s">
        <v>34</v>
      </c>
      <c r="K4485" s="6" t="s">
        <v>1730</v>
      </c>
      <c r="L4485" s="6"/>
      <c r="M4485" s="6" t="s">
        <v>1731</v>
      </c>
      <c r="N4485" s="6" t="s">
        <v>4898</v>
      </c>
      <c r="O4485" s="6" t="s">
        <v>22</v>
      </c>
    </row>
    <row r="4486" spans="1:15" hidden="1">
      <c r="A4486" s="6" t="s">
        <v>15</v>
      </c>
      <c r="B4486" s="6" t="str">
        <f>"FES1162693104"</f>
        <v>FES1162693104</v>
      </c>
      <c r="C4486" s="7">
        <v>43619</v>
      </c>
      <c r="D4486" s="6">
        <v>1</v>
      </c>
      <c r="E4486" s="6">
        <v>2170689098</v>
      </c>
      <c r="F4486" s="6" t="s">
        <v>16</v>
      </c>
      <c r="G4486" s="6" t="s">
        <v>17</v>
      </c>
      <c r="H4486" s="6" t="s">
        <v>32</v>
      </c>
      <c r="I4486" s="6" t="s">
        <v>33</v>
      </c>
      <c r="J4486" s="6" t="s">
        <v>1243</v>
      </c>
      <c r="K4486" s="6" t="s">
        <v>1730</v>
      </c>
      <c r="L4486" s="6"/>
      <c r="M4486" s="6" t="s">
        <v>1731</v>
      </c>
      <c r="N4486" s="6" t="s">
        <v>4898</v>
      </c>
      <c r="O4486" s="6" t="s">
        <v>22</v>
      </c>
    </row>
    <row r="4487" spans="1:15" hidden="1">
      <c r="A4487" s="6" t="s">
        <v>15</v>
      </c>
      <c r="B4487" s="6" t="str">
        <f>"FES1162693061"</f>
        <v>FES1162693061</v>
      </c>
      <c r="C4487" s="7">
        <v>43619</v>
      </c>
      <c r="D4487" s="6">
        <v>1</v>
      </c>
      <c r="E4487" s="6">
        <v>2170691333</v>
      </c>
      <c r="F4487" s="6" t="s">
        <v>16</v>
      </c>
      <c r="G4487" s="6" t="s">
        <v>17</v>
      </c>
      <c r="H4487" s="6" t="s">
        <v>43</v>
      </c>
      <c r="I4487" s="6" t="s">
        <v>44</v>
      </c>
      <c r="J4487" s="6" t="s">
        <v>176</v>
      </c>
      <c r="K4487" s="6" t="s">
        <v>1730</v>
      </c>
      <c r="L4487" s="6"/>
      <c r="M4487" s="6" t="s">
        <v>1731</v>
      </c>
      <c r="N4487" s="6" t="s">
        <v>4898</v>
      </c>
      <c r="O4487" s="6" t="s">
        <v>22</v>
      </c>
    </row>
    <row r="4488" spans="1:15" hidden="1">
      <c r="A4488" s="6" t="s">
        <v>15</v>
      </c>
      <c r="B4488" s="6" t="str">
        <f>"FES1162693123"</f>
        <v>FES1162693123</v>
      </c>
      <c r="C4488" s="7">
        <v>43619</v>
      </c>
      <c r="D4488" s="6">
        <v>1</v>
      </c>
      <c r="E4488" s="6">
        <v>2170689292</v>
      </c>
      <c r="F4488" s="6" t="s">
        <v>16</v>
      </c>
      <c r="G4488" s="6" t="s">
        <v>17</v>
      </c>
      <c r="H4488" s="6" t="s">
        <v>43</v>
      </c>
      <c r="I4488" s="6" t="s">
        <v>75</v>
      </c>
      <c r="J4488" s="6" t="s">
        <v>811</v>
      </c>
      <c r="K4488" s="6" t="s">
        <v>1730</v>
      </c>
      <c r="L4488" s="6"/>
      <c r="M4488" s="6" t="s">
        <v>1731</v>
      </c>
      <c r="N4488" s="6" t="s">
        <v>4898</v>
      </c>
      <c r="O4488" s="6" t="s">
        <v>22</v>
      </c>
    </row>
    <row r="4489" spans="1:15" hidden="1">
      <c r="A4489" s="6" t="s">
        <v>15</v>
      </c>
      <c r="B4489" s="6" t="str">
        <f>"FES1162693140"</f>
        <v>FES1162693140</v>
      </c>
      <c r="C4489" s="7">
        <v>43619</v>
      </c>
      <c r="D4489" s="6">
        <v>1</v>
      </c>
      <c r="E4489" s="6">
        <v>2170691366</v>
      </c>
      <c r="F4489" s="6" t="s">
        <v>16</v>
      </c>
      <c r="G4489" s="6" t="s">
        <v>17</v>
      </c>
      <c r="H4489" s="6" t="s">
        <v>43</v>
      </c>
      <c r="I4489" s="6" t="s">
        <v>75</v>
      </c>
      <c r="J4489" s="6" t="s">
        <v>4982</v>
      </c>
      <c r="K4489" s="6" t="s">
        <v>1730</v>
      </c>
      <c r="L4489" s="6"/>
      <c r="M4489" s="6" t="s">
        <v>1731</v>
      </c>
      <c r="N4489" s="6" t="s">
        <v>4898</v>
      </c>
      <c r="O4489" s="6" t="s">
        <v>22</v>
      </c>
    </row>
    <row r="4490" spans="1:15" hidden="1">
      <c r="A4490" s="6" t="s">
        <v>15</v>
      </c>
      <c r="B4490" s="6" t="str">
        <f>"FES1162693122"</f>
        <v>FES1162693122</v>
      </c>
      <c r="C4490" s="7">
        <v>43619</v>
      </c>
      <c r="D4490" s="6">
        <v>1</v>
      </c>
      <c r="E4490" s="6">
        <v>2170689266</v>
      </c>
      <c r="F4490" s="6" t="s">
        <v>16</v>
      </c>
      <c r="G4490" s="6" t="s">
        <v>17</v>
      </c>
      <c r="H4490" s="6" t="s">
        <v>43</v>
      </c>
      <c r="I4490" s="6" t="s">
        <v>44</v>
      </c>
      <c r="J4490" s="6" t="s">
        <v>393</v>
      </c>
      <c r="K4490" s="6" t="s">
        <v>1730</v>
      </c>
      <c r="L4490" s="6"/>
      <c r="M4490" s="6" t="s">
        <v>1731</v>
      </c>
      <c r="N4490" s="6" t="s">
        <v>4898</v>
      </c>
      <c r="O4490" s="6" t="s">
        <v>22</v>
      </c>
    </row>
    <row r="4491" spans="1:15" hidden="1">
      <c r="A4491" s="6" t="s">
        <v>15</v>
      </c>
      <c r="B4491" s="6" t="str">
        <f>"FES1162693056"</f>
        <v>FES1162693056</v>
      </c>
      <c r="C4491" s="7">
        <v>43619</v>
      </c>
      <c r="D4491" s="6">
        <v>2</v>
      </c>
      <c r="E4491" s="6">
        <v>2170681851</v>
      </c>
      <c r="F4491" s="6" t="s">
        <v>16</v>
      </c>
      <c r="G4491" s="6" t="s">
        <v>17</v>
      </c>
      <c r="H4491" s="6" t="s">
        <v>32</v>
      </c>
      <c r="I4491" s="6" t="s">
        <v>33</v>
      </c>
      <c r="J4491" s="6" t="s">
        <v>34</v>
      </c>
      <c r="K4491" s="6" t="s">
        <v>1730</v>
      </c>
      <c r="L4491" s="6"/>
      <c r="M4491" s="6" t="s">
        <v>1731</v>
      </c>
      <c r="N4491" s="6" t="s">
        <v>4898</v>
      </c>
      <c r="O4491" s="6" t="s">
        <v>22</v>
      </c>
    </row>
    <row r="4492" spans="1:15">
      <c r="A4492" s="6" t="s">
        <v>15</v>
      </c>
      <c r="B4492" s="6" t="str">
        <f>"FES1162693050"</f>
        <v>FES1162693050</v>
      </c>
      <c r="C4492" s="7">
        <v>43619</v>
      </c>
      <c r="D4492" s="6">
        <v>1</v>
      </c>
      <c r="E4492" s="6">
        <v>2170691143</v>
      </c>
      <c r="F4492" s="6" t="s">
        <v>16</v>
      </c>
      <c r="G4492" s="6" t="s">
        <v>17</v>
      </c>
      <c r="H4492" s="6" t="s">
        <v>17</v>
      </c>
      <c r="I4492" s="6" t="s">
        <v>148</v>
      </c>
      <c r="J4492" s="6" t="s">
        <v>149</v>
      </c>
      <c r="K4492" s="6" t="s">
        <v>1730</v>
      </c>
      <c r="L4492" s="6"/>
      <c r="M4492" s="6" t="s">
        <v>1731</v>
      </c>
      <c r="N4492" s="6" t="s">
        <v>4898</v>
      </c>
      <c r="O4492" s="6" t="s">
        <v>22</v>
      </c>
    </row>
    <row r="4493" spans="1:15" hidden="1">
      <c r="A4493" s="6" t="s">
        <v>15</v>
      </c>
      <c r="B4493" s="6" t="str">
        <f>"FES1162693108"</f>
        <v>FES1162693108</v>
      </c>
      <c r="C4493" s="7">
        <v>43619</v>
      </c>
      <c r="D4493" s="6">
        <v>1</v>
      </c>
      <c r="E4493" s="6">
        <v>2170689161</v>
      </c>
      <c r="F4493" s="6" t="s">
        <v>16</v>
      </c>
      <c r="G4493" s="6" t="s">
        <v>17</v>
      </c>
      <c r="H4493" s="6" t="s">
        <v>43</v>
      </c>
      <c r="I4493" s="6" t="s">
        <v>44</v>
      </c>
      <c r="J4493" s="6" t="s">
        <v>3597</v>
      </c>
      <c r="K4493" s="6" t="s">
        <v>1730</v>
      </c>
      <c r="L4493" s="6"/>
      <c r="M4493" s="6" t="s">
        <v>1731</v>
      </c>
      <c r="N4493" s="6" t="s">
        <v>4898</v>
      </c>
      <c r="O4493" s="6" t="s">
        <v>22</v>
      </c>
    </row>
    <row r="4494" spans="1:15">
      <c r="A4494" s="6" t="s">
        <v>15</v>
      </c>
      <c r="B4494" s="6" t="str">
        <f>"FES1162693042"</f>
        <v>FES1162693042</v>
      </c>
      <c r="C4494" s="7">
        <v>43619</v>
      </c>
      <c r="D4494" s="6">
        <v>1</v>
      </c>
      <c r="E4494" s="6">
        <v>21706913103</v>
      </c>
      <c r="F4494" s="6" t="s">
        <v>16</v>
      </c>
      <c r="G4494" s="6" t="s">
        <v>17</v>
      </c>
      <c r="H4494" s="6" t="s">
        <v>17</v>
      </c>
      <c r="I4494" s="6" t="s">
        <v>18</v>
      </c>
      <c r="J4494" s="6" t="s">
        <v>19</v>
      </c>
      <c r="K4494" s="6" t="s">
        <v>1730</v>
      </c>
      <c r="L4494" s="6"/>
      <c r="M4494" s="6" t="s">
        <v>1731</v>
      </c>
      <c r="N4494" s="6" t="s">
        <v>4898</v>
      </c>
      <c r="O4494" s="6" t="s">
        <v>22</v>
      </c>
    </row>
    <row r="4495" spans="1:15">
      <c r="A4495" s="6" t="s">
        <v>15</v>
      </c>
      <c r="B4495" s="6" t="str">
        <f>"FES1162693091"</f>
        <v>FES1162693091</v>
      </c>
      <c r="C4495" s="7">
        <v>43619</v>
      </c>
      <c r="D4495" s="6">
        <v>1</v>
      </c>
      <c r="E4495" s="6">
        <v>2170691332</v>
      </c>
      <c r="F4495" s="6" t="s">
        <v>16</v>
      </c>
      <c r="G4495" s="6" t="s">
        <v>17</v>
      </c>
      <c r="H4495" s="6" t="s">
        <v>17</v>
      </c>
      <c r="I4495" s="6" t="s">
        <v>26</v>
      </c>
      <c r="J4495" s="6" t="s">
        <v>4983</v>
      </c>
      <c r="K4495" s="6" t="s">
        <v>1730</v>
      </c>
      <c r="L4495" s="6"/>
      <c r="M4495" s="6" t="s">
        <v>1731</v>
      </c>
      <c r="N4495" s="6" t="s">
        <v>4898</v>
      </c>
      <c r="O4495" s="6" t="s">
        <v>22</v>
      </c>
    </row>
    <row r="4496" spans="1:15">
      <c r="A4496" s="6" t="s">
        <v>15</v>
      </c>
      <c r="B4496" s="6" t="str">
        <f>"FES1162693120"</f>
        <v>FES1162693120</v>
      </c>
      <c r="C4496" s="7">
        <v>43619</v>
      </c>
      <c r="D4496" s="6">
        <v>1</v>
      </c>
      <c r="E4496" s="6">
        <v>2170689243</v>
      </c>
      <c r="F4496" s="6" t="s">
        <v>16</v>
      </c>
      <c r="G4496" s="6" t="s">
        <v>17</v>
      </c>
      <c r="H4496" s="6" t="s">
        <v>17</v>
      </c>
      <c r="I4496" s="6" t="s">
        <v>18</v>
      </c>
      <c r="J4496" s="6" t="s">
        <v>19</v>
      </c>
      <c r="K4496" s="6" t="s">
        <v>1730</v>
      </c>
      <c r="L4496" s="6"/>
      <c r="M4496" s="6" t="s">
        <v>1731</v>
      </c>
      <c r="N4496" s="6" t="s">
        <v>4898</v>
      </c>
      <c r="O4496" s="6" t="s">
        <v>22</v>
      </c>
    </row>
    <row r="4497" spans="1:15">
      <c r="A4497" s="6" t="s">
        <v>15</v>
      </c>
      <c r="B4497" s="6" t="str">
        <f>"FES1162693052"</f>
        <v>FES1162693052</v>
      </c>
      <c r="C4497" s="7">
        <v>43619</v>
      </c>
      <c r="D4497" s="6">
        <v>1</v>
      </c>
      <c r="E4497" s="6">
        <v>2170691325</v>
      </c>
      <c r="F4497" s="6" t="s">
        <v>16</v>
      </c>
      <c r="G4497" s="6" t="s">
        <v>17</v>
      </c>
      <c r="H4497" s="6" t="s">
        <v>17</v>
      </c>
      <c r="I4497" s="6" t="s">
        <v>701</v>
      </c>
      <c r="J4497" s="6" t="s">
        <v>3851</v>
      </c>
      <c r="K4497" s="6" t="s">
        <v>1730</v>
      </c>
      <c r="L4497" s="6"/>
      <c r="M4497" s="6" t="s">
        <v>1731</v>
      </c>
      <c r="N4497" s="6" t="s">
        <v>4898</v>
      </c>
      <c r="O4497" s="6" t="s">
        <v>22</v>
      </c>
    </row>
    <row r="4498" spans="1:15">
      <c r="A4498" s="6" t="s">
        <v>15</v>
      </c>
      <c r="B4498" s="6" t="str">
        <f>"FES1162691499"</f>
        <v>FES1162691499</v>
      </c>
      <c r="C4498" s="7">
        <v>43619</v>
      </c>
      <c r="D4498" s="6">
        <v>1</v>
      </c>
      <c r="E4498" s="6">
        <v>2170689870</v>
      </c>
      <c r="F4498" s="6" t="s">
        <v>16</v>
      </c>
      <c r="G4498" s="6" t="s">
        <v>17</v>
      </c>
      <c r="H4498" s="6" t="s">
        <v>17</v>
      </c>
      <c r="I4498" s="6" t="s">
        <v>148</v>
      </c>
      <c r="J4498" s="6" t="s">
        <v>4984</v>
      </c>
      <c r="K4498" s="6" t="s">
        <v>1730</v>
      </c>
      <c r="L4498" s="6"/>
      <c r="M4498" s="6" t="s">
        <v>1731</v>
      </c>
      <c r="N4498" s="6" t="s">
        <v>4898</v>
      </c>
      <c r="O4498" s="6" t="s">
        <v>22</v>
      </c>
    </row>
    <row r="4499" spans="1:15">
      <c r="A4499" s="6" t="s">
        <v>15</v>
      </c>
      <c r="B4499" s="6" t="str">
        <f>"FES1162693076"</f>
        <v>FES1162693076</v>
      </c>
      <c r="C4499" s="7">
        <v>43619</v>
      </c>
      <c r="D4499" s="6">
        <v>1</v>
      </c>
      <c r="E4499" s="6">
        <v>2170688342</v>
      </c>
      <c r="F4499" s="6" t="s">
        <v>16</v>
      </c>
      <c r="G4499" s="6" t="s">
        <v>17</v>
      </c>
      <c r="H4499" s="6" t="s">
        <v>17</v>
      </c>
      <c r="I4499" s="6" t="s">
        <v>23</v>
      </c>
      <c r="J4499" s="6" t="s">
        <v>24</v>
      </c>
      <c r="K4499" s="6" t="s">
        <v>1730</v>
      </c>
      <c r="L4499" s="6"/>
      <c r="M4499" s="6" t="s">
        <v>1731</v>
      </c>
      <c r="N4499" s="6" t="s">
        <v>4898</v>
      </c>
      <c r="O4499" s="6" t="s">
        <v>22</v>
      </c>
    </row>
    <row r="4500" spans="1:15">
      <c r="A4500" s="6" t="s">
        <v>15</v>
      </c>
      <c r="B4500" s="6" t="str">
        <f>"FES1162693047"</f>
        <v>FES1162693047</v>
      </c>
      <c r="C4500" s="7">
        <v>43619</v>
      </c>
      <c r="D4500" s="6">
        <v>1</v>
      </c>
      <c r="E4500" s="6">
        <v>2170691319</v>
      </c>
      <c r="F4500" s="6" t="s">
        <v>16</v>
      </c>
      <c r="G4500" s="6" t="s">
        <v>17</v>
      </c>
      <c r="H4500" s="6" t="s">
        <v>17</v>
      </c>
      <c r="I4500" s="6" t="s">
        <v>613</v>
      </c>
      <c r="J4500" s="6" t="s">
        <v>706</v>
      </c>
      <c r="K4500" s="6" t="s">
        <v>1730</v>
      </c>
      <c r="L4500" s="6"/>
      <c r="M4500" s="6" t="s">
        <v>1731</v>
      </c>
      <c r="N4500" s="6" t="s">
        <v>4898</v>
      </c>
      <c r="O4500" s="6" t="s">
        <v>22</v>
      </c>
    </row>
    <row r="4501" spans="1:15" hidden="1">
      <c r="A4501" s="6" t="s">
        <v>15</v>
      </c>
      <c r="B4501" s="6" t="str">
        <f>"FES1162693045"</f>
        <v>FES1162693045</v>
      </c>
      <c r="C4501" s="7">
        <v>43619</v>
      </c>
      <c r="D4501" s="6">
        <v>1</v>
      </c>
      <c r="E4501" s="6">
        <v>217691316</v>
      </c>
      <c r="F4501" s="6" t="s">
        <v>16</v>
      </c>
      <c r="G4501" s="6" t="s">
        <v>17</v>
      </c>
      <c r="H4501" s="6" t="s">
        <v>32</v>
      </c>
      <c r="I4501" s="6" t="s">
        <v>1207</v>
      </c>
      <c r="J4501" s="6" t="s">
        <v>1208</v>
      </c>
      <c r="K4501" s="6" t="s">
        <v>1730</v>
      </c>
      <c r="L4501" s="6"/>
      <c r="M4501" s="6" t="s">
        <v>1731</v>
      </c>
      <c r="N4501" s="6" t="s">
        <v>4898</v>
      </c>
      <c r="O4501" s="6" t="s">
        <v>22</v>
      </c>
    </row>
    <row r="4502" spans="1:15">
      <c r="A4502" s="6" t="s">
        <v>15</v>
      </c>
      <c r="B4502" s="6" t="str">
        <f>"FES1162693031"</f>
        <v>FES1162693031</v>
      </c>
      <c r="C4502" s="7">
        <v>43619</v>
      </c>
      <c r="D4502" s="6">
        <v>1</v>
      </c>
      <c r="E4502" s="6">
        <v>2170690549</v>
      </c>
      <c r="F4502" s="6" t="s">
        <v>16</v>
      </c>
      <c r="G4502" s="6" t="s">
        <v>17</v>
      </c>
      <c r="H4502" s="6" t="s">
        <v>17</v>
      </c>
      <c r="I4502" s="6" t="s">
        <v>18</v>
      </c>
      <c r="J4502" s="6" t="s">
        <v>3865</v>
      </c>
      <c r="K4502" s="6" t="s">
        <v>1730</v>
      </c>
      <c r="L4502" s="6"/>
      <c r="M4502" s="6" t="s">
        <v>1731</v>
      </c>
      <c r="N4502" s="6" t="s">
        <v>4898</v>
      </c>
      <c r="O4502" s="6" t="s">
        <v>22</v>
      </c>
    </row>
    <row r="4503" spans="1:15" hidden="1">
      <c r="A4503" s="6" t="s">
        <v>15</v>
      </c>
      <c r="B4503" s="6" t="str">
        <f>"FES1162693023"</f>
        <v>FES1162693023</v>
      </c>
      <c r="C4503" s="7">
        <v>43619</v>
      </c>
      <c r="D4503" s="6">
        <v>1</v>
      </c>
      <c r="E4503" s="6">
        <v>2170688347</v>
      </c>
      <c r="F4503" s="6" t="s">
        <v>16</v>
      </c>
      <c r="G4503" s="6" t="s">
        <v>17</v>
      </c>
      <c r="H4503" s="6" t="s">
        <v>43</v>
      </c>
      <c r="I4503" s="6" t="s">
        <v>44</v>
      </c>
      <c r="J4503" s="6" t="s">
        <v>927</v>
      </c>
      <c r="K4503" s="6" t="s">
        <v>1730</v>
      </c>
      <c r="L4503" s="6"/>
      <c r="M4503" s="6" t="s">
        <v>1731</v>
      </c>
      <c r="N4503" s="6" t="s">
        <v>4898</v>
      </c>
      <c r="O4503" s="6" t="s">
        <v>22</v>
      </c>
    </row>
    <row r="4504" spans="1:15">
      <c r="A4504" s="6" t="s">
        <v>15</v>
      </c>
      <c r="B4504" s="6" t="str">
        <f>"FES1162693090"</f>
        <v>FES1162693090</v>
      </c>
      <c r="C4504" s="7">
        <v>43619</v>
      </c>
      <c r="D4504" s="6">
        <v>1</v>
      </c>
      <c r="E4504" s="6">
        <v>2170619349</v>
      </c>
      <c r="F4504" s="6" t="s">
        <v>16</v>
      </c>
      <c r="G4504" s="6" t="s">
        <v>17</v>
      </c>
      <c r="H4504" s="6" t="s">
        <v>17</v>
      </c>
      <c r="I4504" s="6" t="s">
        <v>701</v>
      </c>
      <c r="J4504" s="6" t="s">
        <v>1379</v>
      </c>
      <c r="K4504" s="6" t="s">
        <v>1730</v>
      </c>
      <c r="L4504" s="6"/>
      <c r="M4504" s="6" t="s">
        <v>1731</v>
      </c>
      <c r="N4504" s="6" t="s">
        <v>4898</v>
      </c>
      <c r="O4504" s="6" t="s">
        <v>22</v>
      </c>
    </row>
    <row r="4505" spans="1:15">
      <c r="A4505" s="6" t="s">
        <v>15</v>
      </c>
      <c r="B4505" s="6" t="str">
        <f>"FES1162693080"</f>
        <v>FES1162693080</v>
      </c>
      <c r="C4505" s="7">
        <v>43619</v>
      </c>
      <c r="D4505" s="6">
        <v>1</v>
      </c>
      <c r="E4505" s="6">
        <v>2170689327</v>
      </c>
      <c r="F4505" s="6" t="s">
        <v>16</v>
      </c>
      <c r="G4505" s="6" t="s">
        <v>17</v>
      </c>
      <c r="H4505" s="6" t="s">
        <v>17</v>
      </c>
      <c r="I4505" s="6" t="s">
        <v>4985</v>
      </c>
      <c r="J4505" s="6" t="s">
        <v>4986</v>
      </c>
      <c r="K4505" s="6" t="s">
        <v>1730</v>
      </c>
      <c r="L4505" s="6"/>
      <c r="M4505" s="6" t="s">
        <v>1731</v>
      </c>
      <c r="N4505" s="6" t="s">
        <v>4898</v>
      </c>
      <c r="O4505" s="6" t="s">
        <v>22</v>
      </c>
    </row>
    <row r="4506" spans="1:15">
      <c r="A4506" s="6" t="s">
        <v>15</v>
      </c>
      <c r="B4506" s="6" t="str">
        <f>"FES1162693059"</f>
        <v>FES1162693059</v>
      </c>
      <c r="C4506" s="7">
        <v>43619</v>
      </c>
      <c r="D4506" s="6">
        <v>1</v>
      </c>
      <c r="E4506" s="6">
        <v>21706390291</v>
      </c>
      <c r="F4506" s="6" t="s">
        <v>16</v>
      </c>
      <c r="G4506" s="6" t="s">
        <v>17</v>
      </c>
      <c r="H4506" s="6" t="s">
        <v>17</v>
      </c>
      <c r="I4506" s="6" t="s">
        <v>64</v>
      </c>
      <c r="J4506" s="6" t="s">
        <v>556</v>
      </c>
      <c r="K4506" s="6" t="s">
        <v>1730</v>
      </c>
      <c r="L4506" s="6"/>
      <c r="M4506" s="6" t="s">
        <v>1731</v>
      </c>
      <c r="N4506" s="6" t="s">
        <v>4898</v>
      </c>
      <c r="O4506" s="6" t="s">
        <v>22</v>
      </c>
    </row>
    <row r="4507" spans="1:15" hidden="1">
      <c r="A4507" s="6" t="s">
        <v>15</v>
      </c>
      <c r="B4507" s="6" t="str">
        <f>"FES1162693024"</f>
        <v>FES1162693024</v>
      </c>
      <c r="C4507" s="7">
        <v>43619</v>
      </c>
      <c r="D4507" s="6">
        <v>1</v>
      </c>
      <c r="E4507" s="6">
        <v>2170688406</v>
      </c>
      <c r="F4507" s="6" t="s">
        <v>16</v>
      </c>
      <c r="G4507" s="6" t="s">
        <v>17</v>
      </c>
      <c r="H4507" s="6" t="s">
        <v>43</v>
      </c>
      <c r="I4507" s="6" t="s">
        <v>44</v>
      </c>
      <c r="J4507" s="6" t="s">
        <v>51</v>
      </c>
      <c r="K4507" s="6" t="s">
        <v>1730</v>
      </c>
      <c r="L4507" s="6"/>
      <c r="M4507" s="6" t="s">
        <v>1731</v>
      </c>
      <c r="N4507" s="6" t="s">
        <v>4898</v>
      </c>
      <c r="O4507" s="6" t="s">
        <v>22</v>
      </c>
    </row>
    <row r="4508" spans="1:15" hidden="1">
      <c r="A4508" s="6" t="s">
        <v>15</v>
      </c>
      <c r="B4508" s="6" t="str">
        <f>"FES1162693146"</f>
        <v>FES1162693146</v>
      </c>
      <c r="C4508" s="7">
        <v>43619</v>
      </c>
      <c r="D4508" s="6">
        <v>1</v>
      </c>
      <c r="E4508" s="6">
        <v>2170670414</v>
      </c>
      <c r="F4508" s="6" t="s">
        <v>16</v>
      </c>
      <c r="G4508" s="6" t="s">
        <v>17</v>
      </c>
      <c r="H4508" s="6" t="s">
        <v>43</v>
      </c>
      <c r="I4508" s="6" t="s">
        <v>44</v>
      </c>
      <c r="J4508" s="6" t="s">
        <v>256</v>
      </c>
      <c r="K4508" s="6" t="s">
        <v>1730</v>
      </c>
      <c r="L4508" s="6"/>
      <c r="M4508" s="6" t="s">
        <v>1731</v>
      </c>
      <c r="N4508" s="6" t="s">
        <v>4898</v>
      </c>
      <c r="O4508" s="6" t="s">
        <v>22</v>
      </c>
    </row>
    <row r="4509" spans="1:15" hidden="1">
      <c r="A4509" s="6" t="s">
        <v>15</v>
      </c>
      <c r="B4509" s="6" t="str">
        <f>"FES1162693054"</f>
        <v>FES1162693054</v>
      </c>
      <c r="C4509" s="7">
        <v>43619</v>
      </c>
      <c r="D4509" s="6">
        <v>1</v>
      </c>
      <c r="E4509" s="6">
        <v>21706913219</v>
      </c>
      <c r="F4509" s="6" t="s">
        <v>16</v>
      </c>
      <c r="G4509" s="6" t="s">
        <v>17</v>
      </c>
      <c r="H4509" s="6" t="s">
        <v>141</v>
      </c>
      <c r="I4509" s="6" t="s">
        <v>185</v>
      </c>
      <c r="J4509" s="6" t="s">
        <v>2410</v>
      </c>
      <c r="K4509" s="6" t="s">
        <v>1730</v>
      </c>
      <c r="L4509" s="6"/>
      <c r="M4509" s="6" t="s">
        <v>1731</v>
      </c>
      <c r="N4509" s="6" t="s">
        <v>4898</v>
      </c>
      <c r="O4509" s="6" t="s">
        <v>22</v>
      </c>
    </row>
    <row r="4510" spans="1:15">
      <c r="A4510" s="6" t="s">
        <v>15</v>
      </c>
      <c r="B4510" s="6" t="str">
        <f>"FES1162693075"</f>
        <v>FES1162693075</v>
      </c>
      <c r="C4510" s="7">
        <v>43619</v>
      </c>
      <c r="D4510" s="6">
        <v>1</v>
      </c>
      <c r="E4510" s="6">
        <v>2170687852</v>
      </c>
      <c r="F4510" s="6" t="s">
        <v>16</v>
      </c>
      <c r="G4510" s="6" t="s">
        <v>17</v>
      </c>
      <c r="H4510" s="6" t="s">
        <v>17</v>
      </c>
      <c r="I4510" s="6" t="s">
        <v>64</v>
      </c>
      <c r="J4510" s="6" t="s">
        <v>2301</v>
      </c>
      <c r="K4510" s="6" t="s">
        <v>1730</v>
      </c>
      <c r="L4510" s="6"/>
      <c r="M4510" s="6" t="s">
        <v>1731</v>
      </c>
      <c r="N4510" s="6" t="s">
        <v>4898</v>
      </c>
      <c r="O4510" s="6" t="s">
        <v>22</v>
      </c>
    </row>
    <row r="4511" spans="1:15">
      <c r="A4511" s="6" t="s">
        <v>15</v>
      </c>
      <c r="B4511" s="6" t="str">
        <f>"FES1162693079"</f>
        <v>FES1162693079</v>
      </c>
      <c r="C4511" s="7">
        <v>43619</v>
      </c>
      <c r="D4511" s="6">
        <v>1</v>
      </c>
      <c r="E4511" s="6">
        <v>2170688961</v>
      </c>
      <c r="F4511" s="6" t="s">
        <v>16</v>
      </c>
      <c r="G4511" s="6" t="s">
        <v>17</v>
      </c>
      <c r="H4511" s="6" t="s">
        <v>17</v>
      </c>
      <c r="I4511" s="6" t="s">
        <v>414</v>
      </c>
      <c r="J4511" s="6" t="s">
        <v>1538</v>
      </c>
      <c r="K4511" s="6" t="s">
        <v>1730</v>
      </c>
      <c r="L4511" s="6"/>
      <c r="M4511" s="6" t="s">
        <v>1731</v>
      </c>
      <c r="N4511" s="6" t="s">
        <v>4898</v>
      </c>
      <c r="O4511" s="6" t="s">
        <v>22</v>
      </c>
    </row>
    <row r="4512" spans="1:15" hidden="1">
      <c r="A4512" s="6" t="s">
        <v>15</v>
      </c>
      <c r="B4512" s="6" t="str">
        <f>"FES1162693017"</f>
        <v>FES1162693017</v>
      </c>
      <c r="C4512" s="7">
        <v>43619</v>
      </c>
      <c r="D4512" s="6">
        <v>1</v>
      </c>
      <c r="E4512" s="6">
        <v>2170686961</v>
      </c>
      <c r="F4512" s="6" t="s">
        <v>16</v>
      </c>
      <c r="G4512" s="6" t="s">
        <v>17</v>
      </c>
      <c r="H4512" s="6" t="s">
        <v>290</v>
      </c>
      <c r="I4512" s="6" t="s">
        <v>291</v>
      </c>
      <c r="J4512" s="6" t="s">
        <v>297</v>
      </c>
      <c r="K4512" s="6" t="s">
        <v>1730</v>
      </c>
      <c r="L4512" s="6"/>
      <c r="M4512" s="6" t="s">
        <v>1731</v>
      </c>
      <c r="N4512" s="6" t="s">
        <v>4898</v>
      </c>
      <c r="O4512" s="6" t="s">
        <v>22</v>
      </c>
    </row>
    <row r="4513" spans="1:15">
      <c r="A4513" s="6" t="s">
        <v>15</v>
      </c>
      <c r="B4513" s="6" t="str">
        <f>"FES1162693025"</f>
        <v>FES1162693025</v>
      </c>
      <c r="C4513" s="7">
        <v>43619</v>
      </c>
      <c r="D4513" s="6">
        <v>1</v>
      </c>
      <c r="E4513" s="6">
        <v>2170688800</v>
      </c>
      <c r="F4513" s="6" t="s">
        <v>16</v>
      </c>
      <c r="G4513" s="6" t="s">
        <v>17</v>
      </c>
      <c r="H4513" s="6" t="s">
        <v>17</v>
      </c>
      <c r="I4513" s="6" t="s">
        <v>18</v>
      </c>
      <c r="J4513" s="6" t="s">
        <v>19</v>
      </c>
      <c r="K4513" s="6" t="s">
        <v>1730</v>
      </c>
      <c r="L4513" s="6"/>
      <c r="M4513" s="6" t="s">
        <v>1731</v>
      </c>
      <c r="N4513" s="6" t="s">
        <v>4898</v>
      </c>
      <c r="O4513" s="6" t="s">
        <v>22</v>
      </c>
    </row>
    <row r="4514" spans="1:15">
      <c r="A4514" s="6" t="s">
        <v>15</v>
      </c>
      <c r="B4514" s="6" t="str">
        <f>"FES1162693210"</f>
        <v>FES1162693210</v>
      </c>
      <c r="C4514" s="7">
        <v>43619</v>
      </c>
      <c r="D4514" s="6">
        <v>1</v>
      </c>
      <c r="E4514" s="6">
        <v>2170691068</v>
      </c>
      <c r="F4514" s="6" t="s">
        <v>16</v>
      </c>
      <c r="G4514" s="6" t="s">
        <v>17</v>
      </c>
      <c r="H4514" s="6" t="s">
        <v>17</v>
      </c>
      <c r="I4514" s="6" t="s">
        <v>613</v>
      </c>
      <c r="J4514" s="6" t="s">
        <v>3647</v>
      </c>
      <c r="K4514" s="6" t="s">
        <v>1730</v>
      </c>
      <c r="L4514" s="6"/>
      <c r="M4514" s="6" t="s">
        <v>1731</v>
      </c>
      <c r="N4514" s="6" t="s">
        <v>4898</v>
      </c>
      <c r="O4514" s="6" t="s">
        <v>22</v>
      </c>
    </row>
    <row r="4515" spans="1:15">
      <c r="A4515" s="6" t="s">
        <v>15</v>
      </c>
      <c r="B4515" s="6" t="str">
        <f>"FES1162693101"</f>
        <v>FES1162693101</v>
      </c>
      <c r="C4515" s="7">
        <v>43619</v>
      </c>
      <c r="D4515" s="6">
        <v>1</v>
      </c>
      <c r="E4515" s="6">
        <v>2170689009</v>
      </c>
      <c r="F4515" s="6" t="s">
        <v>16</v>
      </c>
      <c r="G4515" s="6" t="s">
        <v>17</v>
      </c>
      <c r="H4515" s="6" t="s">
        <v>17</v>
      </c>
      <c r="I4515" s="6" t="s">
        <v>701</v>
      </c>
      <c r="J4515" s="6" t="s">
        <v>1379</v>
      </c>
      <c r="K4515" s="6" t="s">
        <v>1730</v>
      </c>
      <c r="L4515" s="6"/>
      <c r="M4515" s="6" t="s">
        <v>1731</v>
      </c>
      <c r="N4515" s="6" t="s">
        <v>4898</v>
      </c>
      <c r="O4515" s="6" t="s">
        <v>22</v>
      </c>
    </row>
    <row r="4516" spans="1:15">
      <c r="A4516" s="6" t="s">
        <v>15</v>
      </c>
      <c r="B4516" s="6" t="str">
        <f>"FES1162693201"</f>
        <v>FES1162693201</v>
      </c>
      <c r="C4516" s="7">
        <v>43619</v>
      </c>
      <c r="D4516" s="6">
        <v>1</v>
      </c>
      <c r="E4516" s="6">
        <v>2170690028</v>
      </c>
      <c r="F4516" s="6" t="s">
        <v>16</v>
      </c>
      <c r="G4516" s="6" t="s">
        <v>17</v>
      </c>
      <c r="H4516" s="6" t="s">
        <v>17</v>
      </c>
      <c r="I4516" s="6" t="s">
        <v>148</v>
      </c>
      <c r="J4516" s="6" t="s">
        <v>153</v>
      </c>
      <c r="K4516" s="6" t="s">
        <v>1730</v>
      </c>
      <c r="L4516" s="6"/>
      <c r="M4516" s="6" t="s">
        <v>1731</v>
      </c>
      <c r="N4516" s="6" t="s">
        <v>4898</v>
      </c>
      <c r="O4516" s="6" t="s">
        <v>22</v>
      </c>
    </row>
    <row r="4517" spans="1:15">
      <c r="A4517" s="6" t="s">
        <v>15</v>
      </c>
      <c r="B4517" s="6" t="str">
        <f>"FES1162693088"</f>
        <v>FES1162693088</v>
      </c>
      <c r="C4517" s="7">
        <v>43619</v>
      </c>
      <c r="D4517" s="6">
        <v>1</v>
      </c>
      <c r="E4517" s="6">
        <v>2170691345</v>
      </c>
      <c r="F4517" s="6" t="s">
        <v>16</v>
      </c>
      <c r="G4517" s="6" t="s">
        <v>17</v>
      </c>
      <c r="H4517" s="6" t="s">
        <v>17</v>
      </c>
      <c r="I4517" s="6" t="s">
        <v>64</v>
      </c>
      <c r="J4517" s="6" t="s">
        <v>4987</v>
      </c>
      <c r="K4517" s="6" t="s">
        <v>1730</v>
      </c>
      <c r="L4517" s="6"/>
      <c r="M4517" s="6" t="s">
        <v>1731</v>
      </c>
      <c r="N4517" s="6" t="s">
        <v>4898</v>
      </c>
      <c r="O4517" s="6" t="s">
        <v>22</v>
      </c>
    </row>
    <row r="4518" spans="1:15">
      <c r="A4518" s="6" t="s">
        <v>15</v>
      </c>
      <c r="B4518" s="6" t="str">
        <f>"FES1162693209"</f>
        <v>FES1162693209</v>
      </c>
      <c r="C4518" s="7">
        <v>43619</v>
      </c>
      <c r="D4518" s="6">
        <v>1</v>
      </c>
      <c r="E4518" s="6">
        <v>2170691073</v>
      </c>
      <c r="F4518" s="6" t="s">
        <v>16</v>
      </c>
      <c r="G4518" s="6" t="s">
        <v>17</v>
      </c>
      <c r="H4518" s="6" t="s">
        <v>17</v>
      </c>
      <c r="I4518" s="6" t="s">
        <v>613</v>
      </c>
      <c r="J4518" s="6" t="s">
        <v>3647</v>
      </c>
      <c r="K4518" s="6" t="s">
        <v>1730</v>
      </c>
      <c r="L4518" s="6"/>
      <c r="M4518" s="6" t="s">
        <v>1731</v>
      </c>
      <c r="N4518" s="6" t="s">
        <v>4898</v>
      </c>
      <c r="O4518" s="6" t="s">
        <v>22</v>
      </c>
    </row>
    <row r="4519" spans="1:15" hidden="1">
      <c r="A4519" s="6" t="s">
        <v>15</v>
      </c>
      <c r="B4519" s="6" t="str">
        <f>"FES1162693164"</f>
        <v>FES1162693164</v>
      </c>
      <c r="C4519" s="7">
        <v>43619</v>
      </c>
      <c r="D4519" s="6">
        <v>1</v>
      </c>
      <c r="E4519" s="6">
        <v>2170687382</v>
      </c>
      <c r="F4519" s="6" t="s">
        <v>16</v>
      </c>
      <c r="G4519" s="6" t="s">
        <v>17</v>
      </c>
      <c r="H4519" s="6" t="s">
        <v>43</v>
      </c>
      <c r="I4519" s="6" t="s">
        <v>44</v>
      </c>
      <c r="J4519" s="6" t="s">
        <v>236</v>
      </c>
      <c r="K4519" s="6" t="s">
        <v>1730</v>
      </c>
      <c r="L4519" s="6"/>
      <c r="M4519" s="6" t="s">
        <v>1731</v>
      </c>
      <c r="N4519" s="6" t="s">
        <v>4898</v>
      </c>
      <c r="O4519" s="6" t="s">
        <v>22</v>
      </c>
    </row>
    <row r="4520" spans="1:15" hidden="1">
      <c r="A4520" s="6" t="s">
        <v>15</v>
      </c>
      <c r="B4520" s="6" t="str">
        <f>"FES1162693153"</f>
        <v>FES1162693153</v>
      </c>
      <c r="C4520" s="7">
        <v>43619</v>
      </c>
      <c r="D4520" s="6">
        <v>1</v>
      </c>
      <c r="E4520" s="6">
        <v>2170691386</v>
      </c>
      <c r="F4520" s="6" t="s">
        <v>16</v>
      </c>
      <c r="G4520" s="6" t="s">
        <v>17</v>
      </c>
      <c r="H4520" s="6" t="s">
        <v>43</v>
      </c>
      <c r="I4520" s="6" t="s">
        <v>44</v>
      </c>
      <c r="J4520" s="6" t="s">
        <v>114</v>
      </c>
      <c r="K4520" s="6" t="s">
        <v>1730</v>
      </c>
      <c r="L4520" s="6"/>
      <c r="M4520" s="6" t="s">
        <v>1731</v>
      </c>
      <c r="N4520" s="6" t="s">
        <v>4898</v>
      </c>
      <c r="O4520" s="6" t="s">
        <v>22</v>
      </c>
    </row>
    <row r="4521" spans="1:15" hidden="1">
      <c r="A4521" s="6" t="s">
        <v>15</v>
      </c>
      <c r="B4521" s="6" t="str">
        <f>"FES1162693181"</f>
        <v>FES1162693181</v>
      </c>
      <c r="C4521" s="7">
        <v>43619</v>
      </c>
      <c r="D4521" s="6">
        <v>2</v>
      </c>
      <c r="E4521" s="6">
        <v>2170689811</v>
      </c>
      <c r="F4521" s="6" t="s">
        <v>16</v>
      </c>
      <c r="G4521" s="6" t="s">
        <v>17</v>
      </c>
      <c r="H4521" s="6" t="s">
        <v>43</v>
      </c>
      <c r="I4521" s="6" t="s">
        <v>44</v>
      </c>
      <c r="J4521" s="6" t="s">
        <v>4988</v>
      </c>
      <c r="K4521" s="6" t="s">
        <v>1730</v>
      </c>
      <c r="L4521" s="6"/>
      <c r="M4521" s="6" t="s">
        <v>1731</v>
      </c>
      <c r="N4521" s="6" t="s">
        <v>4898</v>
      </c>
      <c r="O4521" s="6" t="s">
        <v>22</v>
      </c>
    </row>
    <row r="4522" spans="1:15" hidden="1">
      <c r="A4522" s="6" t="s">
        <v>15</v>
      </c>
      <c r="B4522" s="6" t="str">
        <f>"FES1162693154"</f>
        <v>FES1162693154</v>
      </c>
      <c r="C4522" s="7">
        <v>43619</v>
      </c>
      <c r="D4522" s="6">
        <v>1</v>
      </c>
      <c r="E4522" s="6">
        <v>2170691387</v>
      </c>
      <c r="F4522" s="6" t="s">
        <v>16</v>
      </c>
      <c r="G4522" s="6" t="s">
        <v>17</v>
      </c>
      <c r="H4522" s="6" t="s">
        <v>43</v>
      </c>
      <c r="I4522" s="6" t="s">
        <v>75</v>
      </c>
      <c r="J4522" s="6" t="s">
        <v>811</v>
      </c>
      <c r="K4522" s="6" t="s">
        <v>1730</v>
      </c>
      <c r="L4522" s="6"/>
      <c r="M4522" s="6" t="s">
        <v>1731</v>
      </c>
      <c r="N4522" s="6" t="s">
        <v>4898</v>
      </c>
      <c r="O4522" s="6" t="s">
        <v>22</v>
      </c>
    </row>
    <row r="4523" spans="1:15">
      <c r="A4523" s="6" t="s">
        <v>15</v>
      </c>
      <c r="B4523" s="6" t="str">
        <f>"FES1162693069"</f>
        <v>FES1162693069</v>
      </c>
      <c r="C4523" s="7">
        <v>43619</v>
      </c>
      <c r="D4523" s="6">
        <v>1</v>
      </c>
      <c r="E4523" s="6">
        <v>2170691343</v>
      </c>
      <c r="F4523" s="6" t="s">
        <v>16</v>
      </c>
      <c r="G4523" s="6" t="s">
        <v>17</v>
      </c>
      <c r="H4523" s="6" t="s">
        <v>17</v>
      </c>
      <c r="I4523" s="6" t="s">
        <v>18</v>
      </c>
      <c r="J4523" s="6" t="s">
        <v>408</v>
      </c>
      <c r="K4523" s="6" t="s">
        <v>1730</v>
      </c>
      <c r="L4523" s="6"/>
      <c r="M4523" s="6" t="s">
        <v>1731</v>
      </c>
      <c r="N4523" s="6" t="s">
        <v>4898</v>
      </c>
      <c r="O4523" s="6" t="s">
        <v>22</v>
      </c>
    </row>
    <row r="4524" spans="1:15">
      <c r="A4524" s="6" t="s">
        <v>15</v>
      </c>
      <c r="B4524" s="6" t="str">
        <f>"FES1162693118"</f>
        <v>FES1162693118</v>
      </c>
      <c r="C4524" s="7">
        <v>43619</v>
      </c>
      <c r="D4524" s="6">
        <v>1</v>
      </c>
      <c r="E4524" s="6">
        <v>217069215</v>
      </c>
      <c r="F4524" s="6" t="s">
        <v>16</v>
      </c>
      <c r="G4524" s="6" t="s">
        <v>17</v>
      </c>
      <c r="H4524" s="6" t="s">
        <v>17</v>
      </c>
      <c r="I4524" s="6" t="s">
        <v>701</v>
      </c>
      <c r="J4524" s="6" t="s">
        <v>3788</v>
      </c>
      <c r="K4524" s="6" t="s">
        <v>1730</v>
      </c>
      <c r="L4524" s="6"/>
      <c r="M4524" s="6" t="s">
        <v>1731</v>
      </c>
      <c r="N4524" s="6" t="s">
        <v>4898</v>
      </c>
      <c r="O4524" s="6" t="s">
        <v>22</v>
      </c>
    </row>
    <row r="4525" spans="1:15">
      <c r="A4525" s="6" t="s">
        <v>15</v>
      </c>
      <c r="B4525" s="6" t="str">
        <f>"FES1162693119"</f>
        <v>FES1162693119</v>
      </c>
      <c r="C4525" s="7">
        <v>43619</v>
      </c>
      <c r="D4525" s="6">
        <v>1</v>
      </c>
      <c r="E4525" s="6">
        <v>217069235</v>
      </c>
      <c r="F4525" s="6" t="s">
        <v>16</v>
      </c>
      <c r="G4525" s="6" t="s">
        <v>17</v>
      </c>
      <c r="H4525" s="6" t="s">
        <v>17</v>
      </c>
      <c r="I4525" s="6" t="s">
        <v>67</v>
      </c>
      <c r="J4525" s="6" t="s">
        <v>151</v>
      </c>
      <c r="K4525" s="6" t="s">
        <v>1730</v>
      </c>
      <c r="L4525" s="6"/>
      <c r="M4525" s="6" t="s">
        <v>1731</v>
      </c>
      <c r="N4525" s="6" t="s">
        <v>4898</v>
      </c>
      <c r="O4525" s="6" t="s">
        <v>22</v>
      </c>
    </row>
    <row r="4526" spans="1:15" hidden="1">
      <c r="A4526" s="6" t="s">
        <v>15</v>
      </c>
      <c r="B4526" s="6" t="str">
        <f>"FES1162693102"</f>
        <v>FES1162693102</v>
      </c>
      <c r="C4526" s="7">
        <v>43619</v>
      </c>
      <c r="D4526" s="6">
        <v>1</v>
      </c>
      <c r="E4526" s="6">
        <v>2170698050</v>
      </c>
      <c r="F4526" s="6" t="s">
        <v>16</v>
      </c>
      <c r="G4526" s="6" t="s">
        <v>17</v>
      </c>
      <c r="H4526" s="6" t="s">
        <v>43</v>
      </c>
      <c r="I4526" s="6" t="s">
        <v>75</v>
      </c>
      <c r="J4526" s="6" t="s">
        <v>3827</v>
      </c>
      <c r="K4526" s="6" t="s">
        <v>1730</v>
      </c>
      <c r="L4526" s="6"/>
      <c r="M4526" s="6" t="s">
        <v>1731</v>
      </c>
      <c r="N4526" s="6" t="s">
        <v>4898</v>
      </c>
      <c r="O4526" s="6" t="s">
        <v>22</v>
      </c>
    </row>
    <row r="4527" spans="1:15">
      <c r="A4527" s="6" t="s">
        <v>15</v>
      </c>
      <c r="B4527" s="6" t="str">
        <f>"FES1162693049"</f>
        <v>FES1162693049</v>
      </c>
      <c r="C4527" s="7">
        <v>43619</v>
      </c>
      <c r="D4527" s="6">
        <v>1</v>
      </c>
      <c r="E4527" s="6">
        <v>2170691321</v>
      </c>
      <c r="F4527" s="6" t="s">
        <v>16</v>
      </c>
      <c r="G4527" s="6" t="s">
        <v>17</v>
      </c>
      <c r="H4527" s="6" t="s">
        <v>17</v>
      </c>
      <c r="I4527" s="6" t="s">
        <v>64</v>
      </c>
      <c r="J4527" s="6" t="s">
        <v>4989</v>
      </c>
      <c r="K4527" s="6" t="s">
        <v>1730</v>
      </c>
      <c r="L4527" s="6"/>
      <c r="M4527" s="6" t="s">
        <v>1731</v>
      </c>
      <c r="N4527" s="6" t="s">
        <v>4898</v>
      </c>
      <c r="O4527" s="6" t="s">
        <v>22</v>
      </c>
    </row>
    <row r="4528" spans="1:15">
      <c r="A4528" s="6" t="s">
        <v>15</v>
      </c>
      <c r="B4528" s="6" t="str">
        <f>"FES1162693096"</f>
        <v>FES1162693096</v>
      </c>
      <c r="C4528" s="7">
        <v>43619</v>
      </c>
      <c r="D4528" s="6">
        <v>1</v>
      </c>
      <c r="E4528" s="6">
        <v>2170688483</v>
      </c>
      <c r="F4528" s="6" t="s">
        <v>16</v>
      </c>
      <c r="G4528" s="6" t="s">
        <v>17</v>
      </c>
      <c r="H4528" s="6" t="s">
        <v>17</v>
      </c>
      <c r="I4528" s="6" t="s">
        <v>29</v>
      </c>
      <c r="J4528" s="6" t="s">
        <v>1080</v>
      </c>
      <c r="K4528" s="6" t="s">
        <v>1730</v>
      </c>
      <c r="L4528" s="6"/>
      <c r="M4528" s="6" t="s">
        <v>1731</v>
      </c>
      <c r="N4528" s="6" t="s">
        <v>4898</v>
      </c>
      <c r="O4528" s="6" t="s">
        <v>22</v>
      </c>
    </row>
    <row r="4529" spans="1:15" hidden="1">
      <c r="A4529" s="6" t="s">
        <v>15</v>
      </c>
      <c r="B4529" s="6" t="str">
        <f>"FES1162693121"</f>
        <v>FES1162693121</v>
      </c>
      <c r="C4529" s="7">
        <v>43619</v>
      </c>
      <c r="D4529" s="6">
        <v>1</v>
      </c>
      <c r="E4529" s="6">
        <v>2170698249</v>
      </c>
      <c r="F4529" s="6" t="s">
        <v>16</v>
      </c>
      <c r="G4529" s="6" t="s">
        <v>17</v>
      </c>
      <c r="H4529" s="6" t="s">
        <v>290</v>
      </c>
      <c r="I4529" s="6" t="s">
        <v>291</v>
      </c>
      <c r="J4529" s="6" t="s">
        <v>1336</v>
      </c>
      <c r="K4529" s="6" t="s">
        <v>1730</v>
      </c>
      <c r="L4529" s="6"/>
      <c r="M4529" s="6" t="s">
        <v>1731</v>
      </c>
      <c r="N4529" s="6" t="s">
        <v>4898</v>
      </c>
      <c r="O4529" s="6" t="s">
        <v>22</v>
      </c>
    </row>
    <row r="4530" spans="1:15" hidden="1">
      <c r="A4530" s="6" t="s">
        <v>15</v>
      </c>
      <c r="B4530" s="6" t="str">
        <f>"FES1162693092"</f>
        <v>FES1162693092</v>
      </c>
      <c r="C4530" s="7">
        <v>43619</v>
      </c>
      <c r="D4530" s="6">
        <v>1</v>
      </c>
      <c r="E4530" s="6">
        <v>2170678265</v>
      </c>
      <c r="F4530" s="6" t="s">
        <v>16</v>
      </c>
      <c r="G4530" s="6" t="s">
        <v>17</v>
      </c>
      <c r="H4530" s="6" t="s">
        <v>132</v>
      </c>
      <c r="I4530" s="6" t="s">
        <v>133</v>
      </c>
      <c r="J4530" s="6" t="s">
        <v>639</v>
      </c>
      <c r="K4530" s="6" t="s">
        <v>1730</v>
      </c>
      <c r="L4530" s="6"/>
      <c r="M4530" s="6" t="s">
        <v>1731</v>
      </c>
      <c r="N4530" s="6" t="s">
        <v>4898</v>
      </c>
      <c r="O4530" s="6" t="s">
        <v>22</v>
      </c>
    </row>
    <row r="4531" spans="1:15" hidden="1">
      <c r="A4531" s="6" t="s">
        <v>15</v>
      </c>
      <c r="B4531" s="6" t="str">
        <f>"FES1162693151"</f>
        <v>FES1162693151</v>
      </c>
      <c r="C4531" s="7">
        <v>43619</v>
      </c>
      <c r="D4531" s="6">
        <v>1</v>
      </c>
      <c r="E4531" s="6">
        <v>2170691384</v>
      </c>
      <c r="F4531" s="6" t="s">
        <v>16</v>
      </c>
      <c r="G4531" s="6" t="s">
        <v>17</v>
      </c>
      <c r="H4531" s="6" t="s">
        <v>141</v>
      </c>
      <c r="I4531" s="6" t="s">
        <v>185</v>
      </c>
      <c r="J4531" s="6" t="s">
        <v>353</v>
      </c>
      <c r="K4531" s="6" t="s">
        <v>1730</v>
      </c>
      <c r="L4531" s="6"/>
      <c r="M4531" s="6" t="s">
        <v>1731</v>
      </c>
      <c r="N4531" s="6" t="s">
        <v>4898</v>
      </c>
      <c r="O4531" s="6" t="s">
        <v>22</v>
      </c>
    </row>
    <row r="4532" spans="1:15" hidden="1">
      <c r="A4532" s="6" t="s">
        <v>15</v>
      </c>
      <c r="B4532" s="6" t="str">
        <f>"FES1162693074"</f>
        <v>FES1162693074</v>
      </c>
      <c r="C4532" s="7">
        <v>43619</v>
      </c>
      <c r="D4532" s="6">
        <v>1</v>
      </c>
      <c r="E4532" s="6">
        <v>2170687341</v>
      </c>
      <c r="F4532" s="6" t="s">
        <v>16</v>
      </c>
      <c r="G4532" s="6" t="s">
        <v>17</v>
      </c>
      <c r="H4532" s="6" t="s">
        <v>141</v>
      </c>
      <c r="I4532" s="6" t="s">
        <v>142</v>
      </c>
      <c r="J4532" s="6" t="s">
        <v>864</v>
      </c>
      <c r="K4532" s="6" t="s">
        <v>1730</v>
      </c>
      <c r="L4532" s="6"/>
      <c r="M4532" s="6" t="s">
        <v>1731</v>
      </c>
      <c r="N4532" s="6" t="s">
        <v>4898</v>
      </c>
      <c r="O4532" s="6" t="s">
        <v>22</v>
      </c>
    </row>
    <row r="4533" spans="1:15" hidden="1">
      <c r="A4533" s="6" t="s">
        <v>15</v>
      </c>
      <c r="B4533" s="6" t="str">
        <f>"FES1162693148"</f>
        <v>FES1162693148</v>
      </c>
      <c r="C4533" s="7">
        <v>43619</v>
      </c>
      <c r="D4533" s="6">
        <v>1</v>
      </c>
      <c r="E4533" s="6">
        <v>2170691380</v>
      </c>
      <c r="F4533" s="6" t="s">
        <v>16</v>
      </c>
      <c r="G4533" s="6" t="s">
        <v>17</v>
      </c>
      <c r="H4533" s="6" t="s">
        <v>132</v>
      </c>
      <c r="I4533" s="6" t="s">
        <v>133</v>
      </c>
      <c r="J4533" s="6" t="s">
        <v>639</v>
      </c>
      <c r="K4533" s="6" t="s">
        <v>1730</v>
      </c>
      <c r="L4533" s="6"/>
      <c r="M4533" s="6" t="s">
        <v>1731</v>
      </c>
      <c r="N4533" s="6" t="s">
        <v>4898</v>
      </c>
      <c r="O4533" s="6" t="s">
        <v>22</v>
      </c>
    </row>
    <row r="4534" spans="1:15" hidden="1">
      <c r="A4534" s="6" t="s">
        <v>15</v>
      </c>
      <c r="B4534" s="6" t="str">
        <f>"FES1162693198"</f>
        <v>FES1162693198</v>
      </c>
      <c r="C4534" s="7">
        <v>43619</v>
      </c>
      <c r="D4534" s="6">
        <v>1</v>
      </c>
      <c r="E4534" s="6">
        <v>2170690130</v>
      </c>
      <c r="F4534" s="6" t="s">
        <v>16</v>
      </c>
      <c r="G4534" s="6" t="s">
        <v>17</v>
      </c>
      <c r="H4534" s="6" t="s">
        <v>43</v>
      </c>
      <c r="I4534" s="6" t="s">
        <v>75</v>
      </c>
      <c r="J4534" s="6" t="s">
        <v>4982</v>
      </c>
      <c r="K4534" s="6" t="s">
        <v>1730</v>
      </c>
      <c r="L4534" s="6"/>
      <c r="M4534" s="6" t="s">
        <v>1731</v>
      </c>
      <c r="N4534" s="6" t="s">
        <v>4898</v>
      </c>
      <c r="O4534" s="6" t="s">
        <v>22</v>
      </c>
    </row>
    <row r="4535" spans="1:15">
      <c r="A4535" s="6" t="s">
        <v>15</v>
      </c>
      <c r="B4535" s="6" t="str">
        <f>"FES1162693152"</f>
        <v>FES1162693152</v>
      </c>
      <c r="C4535" s="7">
        <v>43619</v>
      </c>
      <c r="D4535" s="6">
        <v>1</v>
      </c>
      <c r="E4535" s="6">
        <v>2170691385</v>
      </c>
      <c r="F4535" s="6" t="s">
        <v>16</v>
      </c>
      <c r="G4535" s="6" t="s">
        <v>17</v>
      </c>
      <c r="H4535" s="6" t="s">
        <v>17</v>
      </c>
      <c r="I4535" s="6" t="s">
        <v>18</v>
      </c>
      <c r="J4535" s="6" t="s">
        <v>19</v>
      </c>
      <c r="K4535" s="6" t="s">
        <v>1730</v>
      </c>
      <c r="L4535" s="6"/>
      <c r="M4535" s="6" t="s">
        <v>1731</v>
      </c>
      <c r="N4535" s="6" t="s">
        <v>4898</v>
      </c>
      <c r="O4535" s="6" t="s">
        <v>22</v>
      </c>
    </row>
    <row r="4536" spans="1:15">
      <c r="A4536" s="6" t="s">
        <v>15</v>
      </c>
      <c r="B4536" s="6" t="str">
        <f>"009935723279"</f>
        <v>009935723279</v>
      </c>
      <c r="C4536" s="7">
        <v>43619</v>
      </c>
      <c r="D4536" s="6">
        <v>1</v>
      </c>
      <c r="E4536" s="6">
        <v>1162688829</v>
      </c>
      <c r="F4536" s="6" t="s">
        <v>16</v>
      </c>
      <c r="G4536" s="6" t="s">
        <v>17</v>
      </c>
      <c r="H4536" s="6" t="s">
        <v>17</v>
      </c>
      <c r="I4536" s="6" t="s">
        <v>1376</v>
      </c>
      <c r="J4536" s="6" t="s">
        <v>1718</v>
      </c>
      <c r="K4536" s="6" t="s">
        <v>1730</v>
      </c>
      <c r="L4536" s="6"/>
      <c r="M4536" s="6" t="s">
        <v>1731</v>
      </c>
      <c r="N4536" s="6" t="s">
        <v>4898</v>
      </c>
      <c r="O4536" s="6" t="s">
        <v>22</v>
      </c>
    </row>
    <row r="4537" spans="1:15" hidden="1">
      <c r="A4537" s="6" t="s">
        <v>15</v>
      </c>
      <c r="B4537" s="6" t="str">
        <f>"FES1162693155"</f>
        <v>FES1162693155</v>
      </c>
      <c r="C4537" s="7">
        <v>43619</v>
      </c>
      <c r="D4537" s="6">
        <v>1</v>
      </c>
      <c r="E4537" s="6">
        <v>2170691388</v>
      </c>
      <c r="F4537" s="6" t="s">
        <v>16</v>
      </c>
      <c r="G4537" s="6" t="s">
        <v>17</v>
      </c>
      <c r="H4537" s="6" t="s">
        <v>43</v>
      </c>
      <c r="I4537" s="6" t="s">
        <v>44</v>
      </c>
      <c r="J4537" s="6" t="s">
        <v>4990</v>
      </c>
      <c r="K4537" s="6" t="s">
        <v>1730</v>
      </c>
      <c r="L4537" s="6"/>
      <c r="M4537" s="6" t="s">
        <v>1731</v>
      </c>
      <c r="N4537" s="6" t="s">
        <v>4898</v>
      </c>
      <c r="O4537" s="6" t="s">
        <v>22</v>
      </c>
    </row>
    <row r="4538" spans="1:15">
      <c r="A4538" s="6" t="s">
        <v>15</v>
      </c>
      <c r="B4538" s="6" t="str">
        <f>"FES1162693187"</f>
        <v>FES1162693187</v>
      </c>
      <c r="C4538" s="7">
        <v>43619</v>
      </c>
      <c r="D4538" s="6">
        <v>1</v>
      </c>
      <c r="E4538" s="6">
        <v>2170691397</v>
      </c>
      <c r="F4538" s="6" t="s">
        <v>16</v>
      </c>
      <c r="G4538" s="6" t="s">
        <v>17</v>
      </c>
      <c r="H4538" s="6" t="s">
        <v>17</v>
      </c>
      <c r="I4538" s="6" t="s">
        <v>148</v>
      </c>
      <c r="J4538" s="6" t="s">
        <v>162</v>
      </c>
      <c r="K4538" s="6" t="s">
        <v>1730</v>
      </c>
      <c r="L4538" s="6"/>
      <c r="M4538" s="6" t="s">
        <v>1731</v>
      </c>
      <c r="N4538" s="6" t="s">
        <v>4898</v>
      </c>
      <c r="O4538" s="6" t="s">
        <v>22</v>
      </c>
    </row>
    <row r="4539" spans="1:15" hidden="1">
      <c r="A4539" s="6" t="s">
        <v>15</v>
      </c>
      <c r="B4539" s="6" t="str">
        <f>"FES1162693030"</f>
        <v>FES1162693030</v>
      </c>
      <c r="C4539" s="7">
        <v>43619</v>
      </c>
      <c r="D4539" s="6">
        <v>1</v>
      </c>
      <c r="E4539" s="6">
        <v>2170690272</v>
      </c>
      <c r="F4539" s="6" t="s">
        <v>16</v>
      </c>
      <c r="G4539" s="6" t="s">
        <v>17</v>
      </c>
      <c r="H4539" s="6" t="s">
        <v>290</v>
      </c>
      <c r="I4539" s="6" t="s">
        <v>316</v>
      </c>
      <c r="J4539" s="6" t="s">
        <v>284</v>
      </c>
      <c r="K4539" s="6" t="s">
        <v>1730</v>
      </c>
      <c r="L4539" s="6"/>
      <c r="M4539" s="6" t="s">
        <v>1731</v>
      </c>
      <c r="N4539" s="6" t="s">
        <v>4898</v>
      </c>
      <c r="O4539" s="6" t="s">
        <v>22</v>
      </c>
    </row>
    <row r="4540" spans="1:15" hidden="1">
      <c r="A4540" s="6" t="s">
        <v>15</v>
      </c>
      <c r="B4540" s="6" t="str">
        <f>"FES1162693103"</f>
        <v>FES1162693103</v>
      </c>
      <c r="C4540" s="7">
        <v>43619</v>
      </c>
      <c r="D4540" s="6">
        <v>1</v>
      </c>
      <c r="E4540" s="6">
        <v>2170689091</v>
      </c>
      <c r="F4540" s="6" t="s">
        <v>16</v>
      </c>
      <c r="G4540" s="6" t="s">
        <v>17</v>
      </c>
      <c r="H4540" s="6" t="s">
        <v>290</v>
      </c>
      <c r="I4540" s="6" t="s">
        <v>291</v>
      </c>
      <c r="J4540" s="6" t="s">
        <v>817</v>
      </c>
      <c r="K4540" s="6" t="s">
        <v>1730</v>
      </c>
      <c r="L4540" s="6"/>
      <c r="M4540" s="6" t="s">
        <v>1731</v>
      </c>
      <c r="N4540" s="6" t="s">
        <v>4898</v>
      </c>
      <c r="O4540" s="6" t="s">
        <v>22</v>
      </c>
    </row>
    <row r="4541" spans="1:15" hidden="1">
      <c r="A4541" s="6" t="s">
        <v>15</v>
      </c>
      <c r="B4541" s="6" t="str">
        <f>"FES1162693094"</f>
        <v>FES1162693094</v>
      </c>
      <c r="C4541" s="7">
        <v>43619</v>
      </c>
      <c r="D4541" s="6">
        <v>1</v>
      </c>
      <c r="E4541" s="6">
        <v>2170687069</v>
      </c>
      <c r="F4541" s="6" t="s">
        <v>16</v>
      </c>
      <c r="G4541" s="6" t="s">
        <v>17</v>
      </c>
      <c r="H4541" s="6" t="s">
        <v>290</v>
      </c>
      <c r="I4541" s="6" t="s">
        <v>291</v>
      </c>
      <c r="J4541" s="6" t="s">
        <v>3670</v>
      </c>
      <c r="K4541" s="6" t="s">
        <v>1730</v>
      </c>
      <c r="L4541" s="6"/>
      <c r="M4541" s="6" t="s">
        <v>1731</v>
      </c>
      <c r="N4541" s="6" t="s">
        <v>4898</v>
      </c>
      <c r="O4541" s="6" t="s">
        <v>22</v>
      </c>
    </row>
    <row r="4542" spans="1:15">
      <c r="A4542" s="6" t="s">
        <v>15</v>
      </c>
      <c r="B4542" s="6" t="str">
        <f>"FES1162693141"</f>
        <v>FES1162693141</v>
      </c>
      <c r="C4542" s="7">
        <v>43619</v>
      </c>
      <c r="D4542" s="6">
        <v>1</v>
      </c>
      <c r="E4542" s="6">
        <v>2170691370</v>
      </c>
      <c r="F4542" s="6" t="s">
        <v>16</v>
      </c>
      <c r="G4542" s="6" t="s">
        <v>17</v>
      </c>
      <c r="H4542" s="6" t="s">
        <v>17</v>
      </c>
      <c r="I4542" s="6" t="s">
        <v>64</v>
      </c>
      <c r="J4542" s="6" t="s">
        <v>513</v>
      </c>
      <c r="K4542" s="6" t="s">
        <v>1730</v>
      </c>
      <c r="L4542" s="6"/>
      <c r="M4542" s="6" t="s">
        <v>1731</v>
      </c>
      <c r="N4542" s="6" t="s">
        <v>4898</v>
      </c>
      <c r="O4542" s="6" t="s">
        <v>22</v>
      </c>
    </row>
    <row r="4543" spans="1:15" hidden="1">
      <c r="A4543" s="6" t="s">
        <v>15</v>
      </c>
      <c r="B4543" s="6" t="str">
        <f>"FES1162693114"</f>
        <v>FES1162693114</v>
      </c>
      <c r="C4543" s="7">
        <v>43619</v>
      </c>
      <c r="D4543" s="6">
        <v>1</v>
      </c>
      <c r="E4543" s="6">
        <v>2170689194</v>
      </c>
      <c r="F4543" s="6" t="s">
        <v>16</v>
      </c>
      <c r="G4543" s="6" t="s">
        <v>17</v>
      </c>
      <c r="H4543" s="6" t="s">
        <v>290</v>
      </c>
      <c r="I4543" s="6" t="s">
        <v>291</v>
      </c>
      <c r="J4543" s="6" t="s">
        <v>4991</v>
      </c>
      <c r="K4543" s="6" t="s">
        <v>1730</v>
      </c>
      <c r="L4543" s="6"/>
      <c r="M4543" s="6" t="s">
        <v>1731</v>
      </c>
      <c r="N4543" s="6" t="s">
        <v>4898</v>
      </c>
      <c r="O4543" s="6" t="s">
        <v>22</v>
      </c>
    </row>
    <row r="4544" spans="1:15" hidden="1">
      <c r="A4544" s="6" t="s">
        <v>15</v>
      </c>
      <c r="B4544" s="6" t="str">
        <f>"FES1162693036"</f>
        <v>FES1162693036</v>
      </c>
      <c r="C4544" s="7">
        <v>43619</v>
      </c>
      <c r="D4544" s="6">
        <v>1</v>
      </c>
      <c r="E4544" s="6">
        <v>2170690987</v>
      </c>
      <c r="F4544" s="6" t="s">
        <v>16</v>
      </c>
      <c r="G4544" s="6" t="s">
        <v>17</v>
      </c>
      <c r="H4544" s="6" t="s">
        <v>290</v>
      </c>
      <c r="I4544" s="6" t="s">
        <v>291</v>
      </c>
      <c r="J4544" s="6" t="s">
        <v>4992</v>
      </c>
      <c r="K4544" s="6" t="s">
        <v>1730</v>
      </c>
      <c r="L4544" s="6"/>
      <c r="M4544" s="6" t="s">
        <v>1731</v>
      </c>
      <c r="N4544" s="6" t="s">
        <v>4898</v>
      </c>
      <c r="O4544" s="6" t="s">
        <v>22</v>
      </c>
    </row>
    <row r="4545" spans="1:15">
      <c r="A4545" s="6" t="s">
        <v>15</v>
      </c>
      <c r="B4545" s="6" t="str">
        <f>"FES1162693174"</f>
        <v>FES1162693174</v>
      </c>
      <c r="C4545" s="7">
        <v>43619</v>
      </c>
      <c r="D4545" s="6">
        <v>1</v>
      </c>
      <c r="E4545" s="6">
        <v>2170689095</v>
      </c>
      <c r="F4545" s="6" t="s">
        <v>16</v>
      </c>
      <c r="G4545" s="6" t="s">
        <v>17</v>
      </c>
      <c r="H4545" s="6" t="s">
        <v>17</v>
      </c>
      <c r="I4545" s="6" t="s">
        <v>64</v>
      </c>
      <c r="J4545" s="6" t="s">
        <v>1094</v>
      </c>
      <c r="K4545" s="6" t="s">
        <v>1730</v>
      </c>
      <c r="L4545" s="6"/>
      <c r="M4545" s="6" t="s">
        <v>1731</v>
      </c>
      <c r="N4545" s="6" t="s">
        <v>4898</v>
      </c>
      <c r="O4545" s="6" t="s">
        <v>22</v>
      </c>
    </row>
    <row r="4546" spans="1:15">
      <c r="A4546" s="6" t="s">
        <v>15</v>
      </c>
      <c r="B4546" s="6" t="str">
        <f>"FES1162693183"</f>
        <v>FES1162693183</v>
      </c>
      <c r="C4546" s="7">
        <v>43619</v>
      </c>
      <c r="D4546" s="6">
        <v>1</v>
      </c>
      <c r="E4546" s="6">
        <v>2170690051</v>
      </c>
      <c r="F4546" s="6" t="s">
        <v>16</v>
      </c>
      <c r="G4546" s="6" t="s">
        <v>17</v>
      </c>
      <c r="H4546" s="6" t="s">
        <v>17</v>
      </c>
      <c r="I4546" s="6" t="s">
        <v>23</v>
      </c>
      <c r="J4546" s="6" t="s">
        <v>2367</v>
      </c>
      <c r="K4546" s="6" t="s">
        <v>1730</v>
      </c>
      <c r="L4546" s="6"/>
      <c r="M4546" s="6" t="s">
        <v>1731</v>
      </c>
      <c r="N4546" s="6" t="s">
        <v>4898</v>
      </c>
      <c r="O4546" s="6" t="s">
        <v>22</v>
      </c>
    </row>
    <row r="4547" spans="1:15">
      <c r="A4547" s="6" t="s">
        <v>15</v>
      </c>
      <c r="B4547" s="6" t="str">
        <f>"FES1162693221"</f>
        <v>FES1162693221</v>
      </c>
      <c r="C4547" s="7">
        <v>43619</v>
      </c>
      <c r="D4547" s="6">
        <v>1</v>
      </c>
      <c r="E4547" s="6">
        <v>2170690068</v>
      </c>
      <c r="F4547" s="6" t="s">
        <v>16</v>
      </c>
      <c r="G4547" s="6" t="s">
        <v>17</v>
      </c>
      <c r="H4547" s="6" t="s">
        <v>17</v>
      </c>
      <c r="I4547" s="6" t="s">
        <v>64</v>
      </c>
      <c r="J4547" s="6" t="s">
        <v>4993</v>
      </c>
      <c r="K4547" s="6" t="s">
        <v>1730</v>
      </c>
      <c r="L4547" s="6"/>
      <c r="M4547" s="6" t="s">
        <v>1731</v>
      </c>
      <c r="N4547" s="6" t="s">
        <v>4898</v>
      </c>
      <c r="O4547" s="6" t="s">
        <v>22</v>
      </c>
    </row>
    <row r="4548" spans="1:15">
      <c r="A4548" s="6" t="s">
        <v>15</v>
      </c>
      <c r="B4548" s="6" t="str">
        <f>"FES1162691263"</f>
        <v>FES1162691263</v>
      </c>
      <c r="C4548" s="7">
        <v>43619</v>
      </c>
      <c r="D4548" s="6">
        <v>1</v>
      </c>
      <c r="E4548" s="6">
        <v>2170689500</v>
      </c>
      <c r="F4548" s="6" t="s">
        <v>16</v>
      </c>
      <c r="G4548" s="6" t="s">
        <v>17</v>
      </c>
      <c r="H4548" s="6" t="s">
        <v>17</v>
      </c>
      <c r="I4548" s="6" t="s">
        <v>18</v>
      </c>
      <c r="J4548" s="6" t="s">
        <v>4994</v>
      </c>
      <c r="K4548" s="6" t="s">
        <v>1730</v>
      </c>
      <c r="L4548" s="6"/>
      <c r="M4548" s="6" t="s">
        <v>1731</v>
      </c>
      <c r="N4548" s="6" t="s">
        <v>4898</v>
      </c>
      <c r="O4548" s="6" t="s">
        <v>22</v>
      </c>
    </row>
    <row r="4549" spans="1:15">
      <c r="A4549" s="6" t="s">
        <v>15</v>
      </c>
      <c r="B4549" s="6" t="str">
        <f>"FES1162693205"</f>
        <v>FES1162693205</v>
      </c>
      <c r="C4549" s="7">
        <v>43619</v>
      </c>
      <c r="D4549" s="6">
        <v>1</v>
      </c>
      <c r="E4549" s="6">
        <v>2170691413</v>
      </c>
      <c r="F4549" s="6" t="s">
        <v>16</v>
      </c>
      <c r="G4549" s="6" t="s">
        <v>17</v>
      </c>
      <c r="H4549" s="6" t="s">
        <v>17</v>
      </c>
      <c r="I4549" s="6" t="s">
        <v>18</v>
      </c>
      <c r="J4549" s="6" t="s">
        <v>160</v>
      </c>
      <c r="K4549" s="6" t="s">
        <v>1730</v>
      </c>
      <c r="L4549" s="6"/>
      <c r="M4549" s="6" t="s">
        <v>1731</v>
      </c>
      <c r="N4549" s="6" t="s">
        <v>4898</v>
      </c>
      <c r="O4549" s="6" t="s">
        <v>22</v>
      </c>
    </row>
    <row r="4550" spans="1:15" hidden="1">
      <c r="A4550" s="6" t="s">
        <v>15</v>
      </c>
      <c r="B4550" s="6" t="str">
        <f>"FES1162693242"</f>
        <v>FES1162693242</v>
      </c>
      <c r="C4550" s="7">
        <v>43619</v>
      </c>
      <c r="D4550" s="6">
        <v>1</v>
      </c>
      <c r="E4550" s="6">
        <v>2170691451</v>
      </c>
      <c r="F4550" s="6" t="s">
        <v>16</v>
      </c>
      <c r="G4550" s="6" t="s">
        <v>17</v>
      </c>
      <c r="H4550" s="6" t="s">
        <v>37</v>
      </c>
      <c r="I4550" s="6" t="s">
        <v>38</v>
      </c>
      <c r="J4550" s="6" t="s">
        <v>39</v>
      </c>
      <c r="K4550" s="6" t="s">
        <v>1730</v>
      </c>
      <c r="L4550" s="6"/>
      <c r="M4550" s="6" t="s">
        <v>1731</v>
      </c>
      <c r="N4550" s="6" t="s">
        <v>4898</v>
      </c>
      <c r="O4550" s="6" t="s">
        <v>22</v>
      </c>
    </row>
    <row r="4551" spans="1:15" hidden="1">
      <c r="A4551" s="6" t="s">
        <v>15</v>
      </c>
      <c r="B4551" s="6" t="str">
        <f>"FES1162693116"</f>
        <v>FES1162693116</v>
      </c>
      <c r="C4551" s="7">
        <v>43619</v>
      </c>
      <c r="D4551" s="6">
        <v>1</v>
      </c>
      <c r="E4551" s="6">
        <v>2170689203</v>
      </c>
      <c r="F4551" s="6" t="s">
        <v>16</v>
      </c>
      <c r="G4551" s="6" t="s">
        <v>17</v>
      </c>
      <c r="H4551" s="6" t="s">
        <v>290</v>
      </c>
      <c r="I4551" s="6" t="s">
        <v>291</v>
      </c>
      <c r="J4551" s="6" t="s">
        <v>609</v>
      </c>
      <c r="K4551" s="6" t="s">
        <v>1730</v>
      </c>
      <c r="L4551" s="6"/>
      <c r="M4551" s="6" t="s">
        <v>1731</v>
      </c>
      <c r="N4551" s="6" t="s">
        <v>4898</v>
      </c>
      <c r="O4551" s="6" t="s">
        <v>22</v>
      </c>
    </row>
    <row r="4552" spans="1:15" hidden="1">
      <c r="A4552" s="6" t="s">
        <v>15</v>
      </c>
      <c r="B4552" s="6" t="str">
        <f>"FES1162693190"</f>
        <v>FES1162693190</v>
      </c>
      <c r="C4552" s="7">
        <v>43619</v>
      </c>
      <c r="D4552" s="6">
        <v>2</v>
      </c>
      <c r="E4552" s="6">
        <v>2170690261</v>
      </c>
      <c r="F4552" s="6" t="s">
        <v>4286</v>
      </c>
      <c r="G4552" s="6" t="s">
        <v>17</v>
      </c>
      <c r="H4552" s="6" t="s">
        <v>37</v>
      </c>
      <c r="I4552" s="6" t="s">
        <v>38</v>
      </c>
      <c r="J4552" s="6" t="s">
        <v>2655</v>
      </c>
      <c r="K4552" s="6" t="s">
        <v>1730</v>
      </c>
      <c r="L4552" s="6"/>
      <c r="M4552" s="6" t="s">
        <v>1731</v>
      </c>
      <c r="N4552" s="6" t="s">
        <v>4898</v>
      </c>
      <c r="O4552" s="6" t="s">
        <v>22</v>
      </c>
    </row>
    <row r="4553" spans="1:15">
      <c r="A4553" s="6" t="s">
        <v>15</v>
      </c>
      <c r="B4553" s="6" t="str">
        <f>"FES1162693185"</f>
        <v>FES1162693185</v>
      </c>
      <c r="C4553" s="7">
        <v>43619</v>
      </c>
      <c r="D4553" s="6">
        <v>1</v>
      </c>
      <c r="E4553" s="6">
        <v>2170691393</v>
      </c>
      <c r="F4553" s="6" t="s">
        <v>16</v>
      </c>
      <c r="G4553" s="6" t="s">
        <v>17</v>
      </c>
      <c r="H4553" s="6" t="s">
        <v>17</v>
      </c>
      <c r="I4553" s="6" t="s">
        <v>18</v>
      </c>
      <c r="J4553" s="6" t="s">
        <v>19</v>
      </c>
      <c r="K4553" s="6" t="s">
        <v>1730</v>
      </c>
      <c r="L4553" s="6"/>
      <c r="M4553" s="6" t="s">
        <v>1731</v>
      </c>
      <c r="N4553" s="6" t="s">
        <v>4898</v>
      </c>
      <c r="O4553" s="6" t="s">
        <v>22</v>
      </c>
    </row>
    <row r="4554" spans="1:15" hidden="1">
      <c r="A4554" s="6" t="s">
        <v>15</v>
      </c>
      <c r="B4554" s="6" t="str">
        <f>"FES1162693203"</f>
        <v>FES1162693203</v>
      </c>
      <c r="C4554" s="7">
        <v>43619</v>
      </c>
      <c r="D4554" s="6">
        <v>1</v>
      </c>
      <c r="E4554" s="6">
        <v>2170691409</v>
      </c>
      <c r="F4554" s="6" t="s">
        <v>16</v>
      </c>
      <c r="G4554" s="6" t="s">
        <v>17</v>
      </c>
      <c r="H4554" s="6" t="s">
        <v>37</v>
      </c>
      <c r="I4554" s="6" t="s">
        <v>38</v>
      </c>
      <c r="J4554" s="6" t="s">
        <v>1771</v>
      </c>
      <c r="K4554" s="6" t="s">
        <v>1730</v>
      </c>
      <c r="L4554" s="6"/>
      <c r="M4554" s="6" t="s">
        <v>1731</v>
      </c>
      <c r="N4554" s="6" t="s">
        <v>4898</v>
      </c>
      <c r="O4554" s="6" t="s">
        <v>22</v>
      </c>
    </row>
    <row r="4555" spans="1:15" hidden="1">
      <c r="A4555" s="6" t="s">
        <v>15</v>
      </c>
      <c r="B4555" s="6" t="str">
        <f>"FES1162693182"</f>
        <v>FES1162693182</v>
      </c>
      <c r="C4555" s="7">
        <v>43619</v>
      </c>
      <c r="D4555" s="6">
        <v>1</v>
      </c>
      <c r="E4555" s="6">
        <v>217069923</v>
      </c>
      <c r="F4555" s="6" t="s">
        <v>16</v>
      </c>
      <c r="G4555" s="6" t="s">
        <v>17</v>
      </c>
      <c r="H4555" s="6" t="s">
        <v>37</v>
      </c>
      <c r="I4555" s="6" t="s">
        <v>955</v>
      </c>
      <c r="J4555" s="6" t="s">
        <v>956</v>
      </c>
      <c r="K4555" s="6" t="s">
        <v>1730</v>
      </c>
      <c r="L4555" s="6"/>
      <c r="M4555" s="6" t="s">
        <v>1731</v>
      </c>
      <c r="N4555" s="6" t="s">
        <v>4898</v>
      </c>
      <c r="O4555" s="6" t="s">
        <v>22</v>
      </c>
    </row>
    <row r="4556" spans="1:15" hidden="1">
      <c r="A4556" s="6" t="s">
        <v>15</v>
      </c>
      <c r="B4556" s="6" t="str">
        <f>"FES1162693212"</f>
        <v>FES1162693212</v>
      </c>
      <c r="C4556" s="7">
        <v>43619</v>
      </c>
      <c r="D4556" s="6">
        <v>1</v>
      </c>
      <c r="E4556" s="6">
        <v>2170691031</v>
      </c>
      <c r="F4556" s="6" t="s">
        <v>16</v>
      </c>
      <c r="G4556" s="6" t="s">
        <v>17</v>
      </c>
      <c r="H4556" s="6" t="s">
        <v>32</v>
      </c>
      <c r="I4556" s="6" t="s">
        <v>4606</v>
      </c>
      <c r="J4556" s="6" t="s">
        <v>4607</v>
      </c>
      <c r="K4556" s="6" t="s">
        <v>1730</v>
      </c>
      <c r="L4556" s="6"/>
      <c r="M4556" s="6" t="s">
        <v>1731</v>
      </c>
      <c r="N4556" s="6" t="s">
        <v>4898</v>
      </c>
      <c r="O4556" s="6" t="s">
        <v>22</v>
      </c>
    </row>
    <row r="4557" spans="1:15" hidden="1">
      <c r="A4557" s="6" t="s">
        <v>15</v>
      </c>
      <c r="B4557" s="6" t="str">
        <f>"FES1162693230"</f>
        <v>FES1162693230</v>
      </c>
      <c r="C4557" s="7">
        <v>43619</v>
      </c>
      <c r="D4557" s="6">
        <v>1</v>
      </c>
      <c r="E4557" s="6">
        <v>2170688874</v>
      </c>
      <c r="F4557" s="6" t="s">
        <v>16</v>
      </c>
      <c r="G4557" s="6" t="s">
        <v>17</v>
      </c>
      <c r="H4557" s="6" t="s">
        <v>32</v>
      </c>
      <c r="I4557" s="6" t="s">
        <v>33</v>
      </c>
      <c r="J4557" s="6" t="s">
        <v>34</v>
      </c>
      <c r="K4557" s="6" t="s">
        <v>1730</v>
      </c>
      <c r="L4557" s="6"/>
      <c r="M4557" s="6" t="s">
        <v>1731</v>
      </c>
      <c r="N4557" s="6" t="s">
        <v>4898</v>
      </c>
      <c r="O4557" s="6" t="s">
        <v>22</v>
      </c>
    </row>
    <row r="4558" spans="1:15">
      <c r="A4558" s="6" t="s">
        <v>15</v>
      </c>
      <c r="B4558" s="6" t="str">
        <f>"FES1162693216"</f>
        <v>FES1162693216</v>
      </c>
      <c r="C4558" s="7">
        <v>43619</v>
      </c>
      <c r="D4558" s="6">
        <v>1</v>
      </c>
      <c r="E4558" s="6">
        <v>2170691419</v>
      </c>
      <c r="F4558" s="6" t="s">
        <v>16</v>
      </c>
      <c r="G4558" s="6" t="s">
        <v>17</v>
      </c>
      <c r="H4558" s="6" t="s">
        <v>17</v>
      </c>
      <c r="I4558" s="6" t="s">
        <v>148</v>
      </c>
      <c r="J4558" s="6" t="s">
        <v>162</v>
      </c>
      <c r="K4558" s="6" t="s">
        <v>1730</v>
      </c>
      <c r="L4558" s="6"/>
      <c r="M4558" s="6" t="s">
        <v>1731</v>
      </c>
      <c r="N4558" s="6" t="s">
        <v>4898</v>
      </c>
      <c r="O4558" s="6" t="s">
        <v>22</v>
      </c>
    </row>
    <row r="4559" spans="1:15" hidden="1">
      <c r="A4559" s="6" t="s">
        <v>15</v>
      </c>
      <c r="B4559" s="6" t="str">
        <f>"FES1162693173"</f>
        <v>FES1162693173</v>
      </c>
      <c r="C4559" s="7">
        <v>43619</v>
      </c>
      <c r="D4559" s="6">
        <v>1</v>
      </c>
      <c r="E4559" s="6">
        <v>2170689076</v>
      </c>
      <c r="F4559" s="6" t="s">
        <v>16</v>
      </c>
      <c r="G4559" s="6" t="s">
        <v>17</v>
      </c>
      <c r="H4559" s="6" t="s">
        <v>32</v>
      </c>
      <c r="I4559" s="6" t="s">
        <v>342</v>
      </c>
      <c r="J4559" s="6" t="s">
        <v>949</v>
      </c>
      <c r="K4559" s="6" t="s">
        <v>1730</v>
      </c>
      <c r="L4559" s="6"/>
      <c r="M4559" s="6" t="s">
        <v>1731</v>
      </c>
      <c r="N4559" s="6" t="s">
        <v>4898</v>
      </c>
      <c r="O4559" s="6" t="s">
        <v>22</v>
      </c>
    </row>
    <row r="4560" spans="1:15" hidden="1">
      <c r="A4560" s="6" t="s">
        <v>15</v>
      </c>
      <c r="B4560" s="6" t="str">
        <f>"FES1162693161"</f>
        <v>FES1162693161</v>
      </c>
      <c r="C4560" s="7">
        <v>43619</v>
      </c>
      <c r="D4560" s="6">
        <v>1</v>
      </c>
      <c r="E4560" s="6">
        <v>2170684607</v>
      </c>
      <c r="F4560" s="6" t="s">
        <v>16</v>
      </c>
      <c r="G4560" s="6" t="s">
        <v>17</v>
      </c>
      <c r="H4560" s="6" t="s">
        <v>32</v>
      </c>
      <c r="I4560" s="6" t="s">
        <v>33</v>
      </c>
      <c r="J4560" s="6" t="s">
        <v>365</v>
      </c>
      <c r="K4560" s="6" t="s">
        <v>1730</v>
      </c>
      <c r="L4560" s="6"/>
      <c r="M4560" s="6" t="s">
        <v>1731</v>
      </c>
      <c r="N4560" s="6" t="s">
        <v>4898</v>
      </c>
      <c r="O4560" s="6" t="s">
        <v>22</v>
      </c>
    </row>
    <row r="4561" spans="1:15">
      <c r="A4561" s="6" t="s">
        <v>15</v>
      </c>
      <c r="B4561" s="6" t="str">
        <f>"FES1162693228"</f>
        <v>FES1162693228</v>
      </c>
      <c r="C4561" s="7">
        <v>43619</v>
      </c>
      <c r="D4561" s="6">
        <v>1</v>
      </c>
      <c r="E4561" s="6">
        <v>21706191431</v>
      </c>
      <c r="F4561" s="6" t="s">
        <v>16</v>
      </c>
      <c r="G4561" s="6" t="s">
        <v>17</v>
      </c>
      <c r="H4561" s="6" t="s">
        <v>17</v>
      </c>
      <c r="I4561" s="6" t="s">
        <v>103</v>
      </c>
      <c r="J4561" s="6" t="s">
        <v>616</v>
      </c>
      <c r="K4561" s="6" t="s">
        <v>1730</v>
      </c>
      <c r="L4561" s="6"/>
      <c r="M4561" s="6" t="s">
        <v>1731</v>
      </c>
      <c r="N4561" s="6" t="s">
        <v>4898</v>
      </c>
      <c r="O4561" s="6" t="s">
        <v>22</v>
      </c>
    </row>
    <row r="4562" spans="1:15">
      <c r="A4562" s="6" t="s">
        <v>15</v>
      </c>
      <c r="B4562" s="6" t="str">
        <f>"FES1162693225"</f>
        <v>FES1162693225</v>
      </c>
      <c r="C4562" s="7">
        <v>43619</v>
      </c>
      <c r="D4562" s="6">
        <v>1</v>
      </c>
      <c r="E4562" s="6">
        <v>2170691425</v>
      </c>
      <c r="F4562" s="6" t="s">
        <v>16</v>
      </c>
      <c r="G4562" s="6" t="s">
        <v>17</v>
      </c>
      <c r="H4562" s="6" t="s">
        <v>17</v>
      </c>
      <c r="I4562" s="6" t="s">
        <v>148</v>
      </c>
      <c r="J4562" s="6" t="s">
        <v>4995</v>
      </c>
      <c r="K4562" s="6" t="s">
        <v>1730</v>
      </c>
      <c r="L4562" s="6"/>
      <c r="M4562" s="6" t="s">
        <v>1731</v>
      </c>
      <c r="N4562" s="6" t="s">
        <v>4898</v>
      </c>
      <c r="O4562" s="6" t="s">
        <v>22</v>
      </c>
    </row>
    <row r="4563" spans="1:15" hidden="1">
      <c r="A4563" s="6" t="s">
        <v>15</v>
      </c>
      <c r="B4563" s="6" t="str">
        <f>"FES1162693177"</f>
        <v>FES1162693177</v>
      </c>
      <c r="C4563" s="7">
        <v>43619</v>
      </c>
      <c r="D4563" s="6">
        <v>1</v>
      </c>
      <c r="E4563" s="6">
        <v>217069668</v>
      </c>
      <c r="F4563" s="6" t="s">
        <v>16</v>
      </c>
      <c r="G4563" s="6" t="s">
        <v>17</v>
      </c>
      <c r="H4563" s="6" t="s">
        <v>290</v>
      </c>
      <c r="I4563" s="6" t="s">
        <v>309</v>
      </c>
      <c r="J4563" s="6" t="s">
        <v>331</v>
      </c>
      <c r="K4563" s="6" t="s">
        <v>1730</v>
      </c>
      <c r="L4563" s="6"/>
      <c r="M4563" s="6" t="s">
        <v>1731</v>
      </c>
      <c r="N4563" s="6" t="s">
        <v>4898</v>
      </c>
      <c r="O4563" s="6" t="s">
        <v>22</v>
      </c>
    </row>
    <row r="4564" spans="1:15" hidden="1">
      <c r="A4564" s="6" t="s">
        <v>15</v>
      </c>
      <c r="B4564" s="6" t="str">
        <f>"FES1162693158"</f>
        <v>FES1162693158</v>
      </c>
      <c r="C4564" s="7">
        <v>43619</v>
      </c>
      <c r="D4564" s="6">
        <v>1</v>
      </c>
      <c r="E4564" s="6">
        <v>2170691392</v>
      </c>
      <c r="F4564" s="6" t="s">
        <v>16</v>
      </c>
      <c r="G4564" s="6" t="s">
        <v>17</v>
      </c>
      <c r="H4564" s="6" t="s">
        <v>290</v>
      </c>
      <c r="I4564" s="6" t="s">
        <v>291</v>
      </c>
      <c r="J4564" s="6" t="s">
        <v>4996</v>
      </c>
      <c r="K4564" s="6" t="s">
        <v>1730</v>
      </c>
      <c r="L4564" s="6"/>
      <c r="M4564" s="6" t="s">
        <v>1731</v>
      </c>
      <c r="N4564" s="6" t="s">
        <v>4898</v>
      </c>
      <c r="O4564" s="6" t="s">
        <v>22</v>
      </c>
    </row>
    <row r="4565" spans="1:15" hidden="1">
      <c r="A4565" s="6" t="s">
        <v>15</v>
      </c>
      <c r="B4565" s="6" t="str">
        <f>"FES1162693179"</f>
        <v>FES1162693179</v>
      </c>
      <c r="C4565" s="7">
        <v>43619</v>
      </c>
      <c r="D4565" s="6">
        <v>1</v>
      </c>
      <c r="E4565" s="6">
        <v>2170689714</v>
      </c>
      <c r="F4565" s="6" t="s">
        <v>16</v>
      </c>
      <c r="G4565" s="6" t="s">
        <v>17</v>
      </c>
      <c r="H4565" s="6" t="s">
        <v>32</v>
      </c>
      <c r="I4565" s="6" t="s">
        <v>33</v>
      </c>
      <c r="J4565" s="6" t="s">
        <v>357</v>
      </c>
      <c r="K4565" s="6" t="s">
        <v>1730</v>
      </c>
      <c r="L4565" s="6"/>
      <c r="M4565" s="6" t="s">
        <v>1731</v>
      </c>
      <c r="N4565" s="6" t="s">
        <v>4898</v>
      </c>
      <c r="O4565" s="6" t="s">
        <v>22</v>
      </c>
    </row>
    <row r="4566" spans="1:15" hidden="1">
      <c r="A4566" s="6" t="s">
        <v>15</v>
      </c>
      <c r="B4566" s="6" t="str">
        <f>"FES1162693165"</f>
        <v>FES1162693165</v>
      </c>
      <c r="C4566" s="7">
        <v>43619</v>
      </c>
      <c r="D4566" s="6">
        <v>1</v>
      </c>
      <c r="E4566" s="6">
        <v>2170687397</v>
      </c>
      <c r="F4566" s="6" t="s">
        <v>16</v>
      </c>
      <c r="G4566" s="6" t="s">
        <v>17</v>
      </c>
      <c r="H4566" s="6" t="s">
        <v>37</v>
      </c>
      <c r="I4566" s="6" t="s">
        <v>38</v>
      </c>
      <c r="J4566" s="6" t="s">
        <v>535</v>
      </c>
      <c r="K4566" s="6" t="s">
        <v>1730</v>
      </c>
      <c r="L4566" s="6"/>
      <c r="M4566" s="6" t="s">
        <v>1731</v>
      </c>
      <c r="N4566" s="6" t="s">
        <v>4898</v>
      </c>
      <c r="O4566" s="6" t="s">
        <v>22</v>
      </c>
    </row>
    <row r="4567" spans="1:15" hidden="1">
      <c r="A4567" s="6" t="s">
        <v>15</v>
      </c>
      <c r="B4567" s="6" t="str">
        <f>"FES1162693199"</f>
        <v>FES1162693199</v>
      </c>
      <c r="C4567" s="7">
        <v>43619</v>
      </c>
      <c r="D4567" s="6">
        <v>1</v>
      </c>
      <c r="E4567" s="6">
        <v>2170689844</v>
      </c>
      <c r="F4567" s="6" t="s">
        <v>16</v>
      </c>
      <c r="G4567" s="6" t="s">
        <v>17</v>
      </c>
      <c r="H4567" s="6" t="s">
        <v>32</v>
      </c>
      <c r="I4567" s="6" t="s">
        <v>33</v>
      </c>
      <c r="J4567" s="6" t="s">
        <v>34</v>
      </c>
      <c r="K4567" s="6" t="s">
        <v>1730</v>
      </c>
      <c r="L4567" s="6"/>
      <c r="M4567" s="6" t="s">
        <v>1731</v>
      </c>
      <c r="N4567" s="6" t="s">
        <v>4898</v>
      </c>
      <c r="O4567" s="6" t="s">
        <v>22</v>
      </c>
    </row>
    <row r="4568" spans="1:15">
      <c r="A4568" s="6" t="s">
        <v>15</v>
      </c>
      <c r="B4568" s="6" t="str">
        <f>"FES1162693060"</f>
        <v>FES1162693060</v>
      </c>
      <c r="C4568" s="7">
        <v>43619</v>
      </c>
      <c r="D4568" s="6">
        <v>1</v>
      </c>
      <c r="E4568" s="6">
        <v>2170691331</v>
      </c>
      <c r="F4568" s="6" t="s">
        <v>16</v>
      </c>
      <c r="G4568" s="6" t="s">
        <v>17</v>
      </c>
      <c r="H4568" s="6" t="s">
        <v>17</v>
      </c>
      <c r="I4568" s="6" t="s">
        <v>64</v>
      </c>
      <c r="J4568" s="6" t="s">
        <v>724</v>
      </c>
      <c r="K4568" s="6" t="s">
        <v>1730</v>
      </c>
      <c r="L4568" s="6"/>
      <c r="M4568" s="6" t="s">
        <v>1731</v>
      </c>
      <c r="N4568" s="6" t="s">
        <v>4898</v>
      </c>
      <c r="O4568" s="6" t="s">
        <v>22</v>
      </c>
    </row>
    <row r="4569" spans="1:15">
      <c r="A4569" s="6" t="s">
        <v>15</v>
      </c>
      <c r="B4569" s="6" t="str">
        <f>"FES1162693029"</f>
        <v>FES1162693029</v>
      </c>
      <c r="C4569" s="7">
        <v>43619</v>
      </c>
      <c r="D4569" s="6">
        <v>1</v>
      </c>
      <c r="E4569" s="6">
        <v>2170690184</v>
      </c>
      <c r="F4569" s="6" t="s">
        <v>4286</v>
      </c>
      <c r="G4569" s="6" t="s">
        <v>17</v>
      </c>
      <c r="H4569" s="6" t="s">
        <v>17</v>
      </c>
      <c r="I4569" s="6" t="s">
        <v>414</v>
      </c>
      <c r="J4569" s="6" t="s">
        <v>1636</v>
      </c>
      <c r="K4569" s="6" t="s">
        <v>1730</v>
      </c>
      <c r="L4569" s="6"/>
      <c r="M4569" s="6" t="s">
        <v>1731</v>
      </c>
      <c r="N4569" s="6" t="s">
        <v>4898</v>
      </c>
      <c r="O4569" s="6" t="s">
        <v>22</v>
      </c>
    </row>
    <row r="4570" spans="1:15">
      <c r="A4570" s="6" t="s">
        <v>15</v>
      </c>
      <c r="B4570" s="6" t="str">
        <f>"FES1162693065"</f>
        <v>FES1162693065</v>
      </c>
      <c r="C4570" s="7">
        <v>43619</v>
      </c>
      <c r="D4570" s="6">
        <v>1</v>
      </c>
      <c r="E4570" s="6">
        <v>2170690146</v>
      </c>
      <c r="F4570" s="6" t="s">
        <v>16</v>
      </c>
      <c r="G4570" s="6" t="s">
        <v>17</v>
      </c>
      <c r="H4570" s="6" t="s">
        <v>17</v>
      </c>
      <c r="I4570" s="6" t="s">
        <v>26</v>
      </c>
      <c r="J4570" s="6" t="s">
        <v>4983</v>
      </c>
      <c r="K4570" s="6" t="s">
        <v>1730</v>
      </c>
      <c r="L4570" s="6"/>
      <c r="M4570" s="6" t="s">
        <v>1731</v>
      </c>
      <c r="N4570" s="6" t="s">
        <v>4898</v>
      </c>
      <c r="O4570" s="6" t="s">
        <v>22</v>
      </c>
    </row>
    <row r="4571" spans="1:15">
      <c r="A4571" s="6" t="s">
        <v>15</v>
      </c>
      <c r="B4571" s="6" t="str">
        <f>"FES1162693169"</f>
        <v>FES1162693169</v>
      </c>
      <c r="C4571" s="7">
        <v>43619</v>
      </c>
      <c r="D4571" s="6">
        <v>1</v>
      </c>
      <c r="E4571" s="6">
        <v>2170687925</v>
      </c>
      <c r="F4571" s="6" t="s">
        <v>16</v>
      </c>
      <c r="G4571" s="6" t="s">
        <v>17</v>
      </c>
      <c r="H4571" s="6" t="s">
        <v>17</v>
      </c>
      <c r="I4571" s="6" t="s">
        <v>29</v>
      </c>
      <c r="J4571" s="6" t="s">
        <v>912</v>
      </c>
      <c r="K4571" s="6" t="s">
        <v>1730</v>
      </c>
      <c r="L4571" s="6"/>
      <c r="M4571" s="6" t="s">
        <v>1731</v>
      </c>
      <c r="N4571" s="6" t="s">
        <v>4898</v>
      </c>
      <c r="O4571" s="6" t="s">
        <v>22</v>
      </c>
    </row>
    <row r="4572" spans="1:15" hidden="1">
      <c r="A4572" s="6" t="s">
        <v>15</v>
      </c>
      <c r="B4572" s="6" t="str">
        <f>"FES1162693067"</f>
        <v>FES1162693067</v>
      </c>
      <c r="C4572" s="7">
        <v>43619</v>
      </c>
      <c r="D4572" s="6">
        <v>1</v>
      </c>
      <c r="E4572" s="6">
        <v>2170691340</v>
      </c>
      <c r="F4572" s="6" t="s">
        <v>16</v>
      </c>
      <c r="G4572" s="6" t="s">
        <v>17</v>
      </c>
      <c r="H4572" s="6" t="s">
        <v>290</v>
      </c>
      <c r="I4572" s="6" t="s">
        <v>291</v>
      </c>
      <c r="J4572" s="6" t="s">
        <v>297</v>
      </c>
      <c r="K4572" s="6" t="s">
        <v>1730</v>
      </c>
      <c r="L4572" s="6"/>
      <c r="M4572" s="6" t="s">
        <v>1731</v>
      </c>
      <c r="N4572" s="6" t="s">
        <v>4898</v>
      </c>
      <c r="O4572" s="6" t="s">
        <v>22</v>
      </c>
    </row>
    <row r="4573" spans="1:15" hidden="1">
      <c r="A4573" s="6" t="s">
        <v>15</v>
      </c>
      <c r="B4573" s="6" t="str">
        <f>"FES1162693171"</f>
        <v>FES1162693171</v>
      </c>
      <c r="C4573" s="7">
        <v>43619</v>
      </c>
      <c r="D4573" s="6">
        <v>1</v>
      </c>
      <c r="E4573" s="6">
        <v>2170688602</v>
      </c>
      <c r="F4573" s="6" t="s">
        <v>16</v>
      </c>
      <c r="G4573" s="6" t="s">
        <v>17</v>
      </c>
      <c r="H4573" s="6" t="s">
        <v>141</v>
      </c>
      <c r="I4573" s="6" t="s">
        <v>142</v>
      </c>
      <c r="J4573" s="6" t="s">
        <v>3937</v>
      </c>
      <c r="K4573" s="6" t="s">
        <v>1730</v>
      </c>
      <c r="L4573" s="6"/>
      <c r="M4573" s="6" t="s">
        <v>1731</v>
      </c>
      <c r="N4573" s="6" t="s">
        <v>4898</v>
      </c>
      <c r="O4573" s="6" t="s">
        <v>22</v>
      </c>
    </row>
    <row r="4574" spans="1:15" hidden="1">
      <c r="A4574" s="6" t="s">
        <v>15</v>
      </c>
      <c r="B4574" s="6" t="str">
        <f>"FES1162693167"</f>
        <v>FES1162693167</v>
      </c>
      <c r="C4574" s="7">
        <v>43619</v>
      </c>
      <c r="D4574" s="6">
        <v>1</v>
      </c>
      <c r="E4574" s="6">
        <v>2170687720</v>
      </c>
      <c r="F4574" s="6" t="s">
        <v>16</v>
      </c>
      <c r="G4574" s="6" t="s">
        <v>17</v>
      </c>
      <c r="H4574" s="6" t="s">
        <v>141</v>
      </c>
      <c r="I4574" s="6" t="s">
        <v>142</v>
      </c>
      <c r="J4574" s="6" t="s">
        <v>1411</v>
      </c>
      <c r="K4574" s="6" t="s">
        <v>1730</v>
      </c>
      <c r="L4574" s="6"/>
      <c r="M4574" s="6" t="s">
        <v>1731</v>
      </c>
      <c r="N4574" s="6" t="s">
        <v>4898</v>
      </c>
      <c r="O4574" s="6" t="s">
        <v>22</v>
      </c>
    </row>
    <row r="4575" spans="1:15">
      <c r="A4575" s="6" t="s">
        <v>15</v>
      </c>
      <c r="B4575" s="6" t="str">
        <f>"FES1162693269"</f>
        <v>FES1162693269</v>
      </c>
      <c r="C4575" s="7">
        <v>43619</v>
      </c>
      <c r="D4575" s="6">
        <v>1</v>
      </c>
      <c r="E4575" s="6">
        <v>2170691487</v>
      </c>
      <c r="F4575" s="6" t="s">
        <v>16</v>
      </c>
      <c r="G4575" s="6" t="s">
        <v>17</v>
      </c>
      <c r="H4575" s="6" t="s">
        <v>17</v>
      </c>
      <c r="I4575" s="6" t="s">
        <v>18</v>
      </c>
      <c r="J4575" s="6" t="s">
        <v>19</v>
      </c>
      <c r="K4575" s="6" t="s">
        <v>1730</v>
      </c>
      <c r="L4575" s="6"/>
      <c r="M4575" s="6" t="s">
        <v>1731</v>
      </c>
      <c r="N4575" s="6" t="s">
        <v>4898</v>
      </c>
      <c r="O4575" s="6" t="s">
        <v>22</v>
      </c>
    </row>
    <row r="4576" spans="1:15">
      <c r="A4576" s="6" t="s">
        <v>15</v>
      </c>
      <c r="B4576" s="6" t="str">
        <f>"FES1162693251"</f>
        <v>FES1162693251</v>
      </c>
      <c r="C4576" s="7">
        <v>43619</v>
      </c>
      <c r="D4576" s="6">
        <v>1</v>
      </c>
      <c r="E4576" s="6">
        <v>2170690731</v>
      </c>
      <c r="F4576" s="6" t="s">
        <v>16</v>
      </c>
      <c r="G4576" s="6" t="s">
        <v>17</v>
      </c>
      <c r="H4576" s="6" t="s">
        <v>17</v>
      </c>
      <c r="I4576" s="6" t="s">
        <v>29</v>
      </c>
      <c r="J4576" s="6" t="s">
        <v>1080</v>
      </c>
      <c r="K4576" s="6" t="s">
        <v>1730</v>
      </c>
      <c r="L4576" s="6"/>
      <c r="M4576" s="6" t="s">
        <v>1731</v>
      </c>
      <c r="N4576" s="6" t="s">
        <v>4898</v>
      </c>
      <c r="O4576" s="6" t="s">
        <v>22</v>
      </c>
    </row>
    <row r="4577" spans="1:15" hidden="1">
      <c r="A4577" s="6" t="s">
        <v>15</v>
      </c>
      <c r="B4577" s="6" t="str">
        <f>"FES1162693193"</f>
        <v>FES1162693193</v>
      </c>
      <c r="C4577" s="7">
        <v>43619</v>
      </c>
      <c r="D4577" s="6">
        <v>1</v>
      </c>
      <c r="E4577" s="6">
        <v>2170691403</v>
      </c>
      <c r="F4577" s="6" t="s">
        <v>16</v>
      </c>
      <c r="G4577" s="6" t="s">
        <v>17</v>
      </c>
      <c r="H4577" s="6" t="s">
        <v>132</v>
      </c>
      <c r="I4577" s="6" t="s">
        <v>133</v>
      </c>
      <c r="J4577" s="6" t="s">
        <v>639</v>
      </c>
      <c r="K4577" s="6" t="s">
        <v>1730</v>
      </c>
      <c r="L4577" s="6"/>
      <c r="M4577" s="6" t="s">
        <v>1731</v>
      </c>
      <c r="N4577" s="6" t="s">
        <v>4898</v>
      </c>
      <c r="O4577" s="6" t="s">
        <v>22</v>
      </c>
    </row>
    <row r="4578" spans="1:15" hidden="1">
      <c r="A4578" s="6" t="s">
        <v>15</v>
      </c>
      <c r="B4578" s="6" t="str">
        <f>"FES1162693250"</f>
        <v>FES1162693250</v>
      </c>
      <c r="C4578" s="7">
        <v>43619</v>
      </c>
      <c r="D4578" s="6">
        <v>1</v>
      </c>
      <c r="E4578" s="6">
        <v>2170690858</v>
      </c>
      <c r="F4578" s="6" t="s">
        <v>16</v>
      </c>
      <c r="G4578" s="6" t="s">
        <v>17</v>
      </c>
      <c r="H4578" s="6" t="s">
        <v>290</v>
      </c>
      <c r="I4578" s="6" t="s">
        <v>291</v>
      </c>
      <c r="J4578" s="6" t="s">
        <v>294</v>
      </c>
      <c r="K4578" s="6" t="s">
        <v>1730</v>
      </c>
      <c r="L4578" s="6"/>
      <c r="M4578" s="6" t="s">
        <v>1731</v>
      </c>
      <c r="N4578" s="6" t="s">
        <v>4898</v>
      </c>
      <c r="O4578" s="6" t="s">
        <v>22</v>
      </c>
    </row>
    <row r="4579" spans="1:15" hidden="1">
      <c r="A4579" s="6" t="s">
        <v>15</v>
      </c>
      <c r="B4579" s="6" t="str">
        <f>"FES1162693211"</f>
        <v>FES1162693211</v>
      </c>
      <c r="C4579" s="7">
        <v>43619</v>
      </c>
      <c r="D4579" s="6">
        <v>1</v>
      </c>
      <c r="E4579" s="6">
        <v>2170690719</v>
      </c>
      <c r="F4579" s="6" t="s">
        <v>16</v>
      </c>
      <c r="G4579" s="6" t="s">
        <v>17</v>
      </c>
      <c r="H4579" s="6" t="s">
        <v>43</v>
      </c>
      <c r="I4579" s="6" t="s">
        <v>44</v>
      </c>
      <c r="J4579" s="6" t="s">
        <v>48</v>
      </c>
      <c r="K4579" s="6" t="s">
        <v>1730</v>
      </c>
      <c r="L4579" s="6"/>
      <c r="M4579" s="6" t="s">
        <v>1731</v>
      </c>
      <c r="N4579" s="6" t="s">
        <v>4898</v>
      </c>
      <c r="O4579" s="6" t="s">
        <v>22</v>
      </c>
    </row>
    <row r="4580" spans="1:15" hidden="1">
      <c r="A4580" s="6" t="s">
        <v>15</v>
      </c>
      <c r="B4580" s="6" t="str">
        <f>"FES1162693245"</f>
        <v>FES1162693245</v>
      </c>
      <c r="C4580" s="7">
        <v>43619</v>
      </c>
      <c r="D4580" s="6">
        <v>1</v>
      </c>
      <c r="E4580" s="6">
        <v>2170691455</v>
      </c>
      <c r="F4580" s="6" t="s">
        <v>16</v>
      </c>
      <c r="G4580" s="6" t="s">
        <v>17</v>
      </c>
      <c r="H4580" s="6" t="s">
        <v>132</v>
      </c>
      <c r="I4580" s="6" t="s">
        <v>133</v>
      </c>
      <c r="J4580" s="6" t="s">
        <v>189</v>
      </c>
      <c r="K4580" s="6" t="s">
        <v>1730</v>
      </c>
      <c r="L4580" s="6"/>
      <c r="M4580" s="6" t="s">
        <v>1731</v>
      </c>
      <c r="N4580" s="6" t="s">
        <v>4898</v>
      </c>
      <c r="O4580" s="6" t="s">
        <v>22</v>
      </c>
    </row>
    <row r="4581" spans="1:15" hidden="1">
      <c r="A4581" s="6" t="s">
        <v>15</v>
      </c>
      <c r="B4581" s="6" t="str">
        <f>"FES1162693248"</f>
        <v>FES1162693248</v>
      </c>
      <c r="C4581" s="7">
        <v>43619</v>
      </c>
      <c r="D4581" s="6">
        <v>1</v>
      </c>
      <c r="E4581" s="6">
        <v>2170691458</v>
      </c>
      <c r="F4581" s="6" t="s">
        <v>16</v>
      </c>
      <c r="G4581" s="6" t="s">
        <v>17</v>
      </c>
      <c r="H4581" s="6" t="s">
        <v>141</v>
      </c>
      <c r="I4581" s="6" t="s">
        <v>185</v>
      </c>
      <c r="J4581" s="6" t="s">
        <v>1011</v>
      </c>
      <c r="K4581" s="7">
        <v>43620</v>
      </c>
      <c r="L4581" s="8">
        <v>0.33888888888888885</v>
      </c>
      <c r="M4581" s="6" t="s">
        <v>1012</v>
      </c>
      <c r="N4581" s="6" t="s">
        <v>21</v>
      </c>
      <c r="O4581" s="6" t="s">
        <v>22</v>
      </c>
    </row>
    <row r="4582" spans="1:15" hidden="1">
      <c r="A4582" s="6" t="s">
        <v>15</v>
      </c>
      <c r="B4582" s="6" t="str">
        <f>"FES1162693184"</f>
        <v>FES1162693184</v>
      </c>
      <c r="C4582" s="7">
        <v>43619</v>
      </c>
      <c r="D4582" s="6">
        <v>1</v>
      </c>
      <c r="E4582" s="6">
        <v>2170690126</v>
      </c>
      <c r="F4582" s="6" t="s">
        <v>16</v>
      </c>
      <c r="G4582" s="6" t="s">
        <v>17</v>
      </c>
      <c r="H4582" s="6" t="s">
        <v>141</v>
      </c>
      <c r="I4582" s="6" t="s">
        <v>142</v>
      </c>
      <c r="J4582" s="6" t="s">
        <v>213</v>
      </c>
      <c r="K4582" s="6" t="s">
        <v>1730</v>
      </c>
      <c r="L4582" s="6"/>
      <c r="M4582" s="6" t="s">
        <v>1731</v>
      </c>
      <c r="N4582" s="6" t="s">
        <v>4898</v>
      </c>
      <c r="O4582" s="6" t="s">
        <v>22</v>
      </c>
    </row>
    <row r="4583" spans="1:15" hidden="1">
      <c r="A4583" s="6" t="s">
        <v>15</v>
      </c>
      <c r="B4583" s="6" t="str">
        <f>"FES1162693217"</f>
        <v>FES1162693217</v>
      </c>
      <c r="C4583" s="7">
        <v>43619</v>
      </c>
      <c r="D4583" s="6">
        <v>1</v>
      </c>
      <c r="E4583" s="6">
        <v>2170691420</v>
      </c>
      <c r="F4583" s="6" t="s">
        <v>16</v>
      </c>
      <c r="G4583" s="6" t="s">
        <v>17</v>
      </c>
      <c r="H4583" s="6" t="s">
        <v>43</v>
      </c>
      <c r="I4583" s="6" t="s">
        <v>44</v>
      </c>
      <c r="J4583" s="6" t="s">
        <v>207</v>
      </c>
      <c r="K4583" s="6" t="s">
        <v>1730</v>
      </c>
      <c r="L4583" s="6"/>
      <c r="M4583" s="6" t="s">
        <v>1731</v>
      </c>
      <c r="N4583" s="6" t="s">
        <v>4898</v>
      </c>
      <c r="O4583" s="6" t="s">
        <v>22</v>
      </c>
    </row>
    <row r="4584" spans="1:15" hidden="1">
      <c r="A4584" s="6" t="s">
        <v>15</v>
      </c>
      <c r="B4584" s="6" t="str">
        <f>"FES1162693235"</f>
        <v>FES1162693235</v>
      </c>
      <c r="C4584" s="7">
        <v>43619</v>
      </c>
      <c r="D4584" s="6">
        <v>1</v>
      </c>
      <c r="E4584" s="6">
        <v>2170691441</v>
      </c>
      <c r="F4584" s="6" t="s">
        <v>16</v>
      </c>
      <c r="G4584" s="6" t="s">
        <v>17</v>
      </c>
      <c r="H4584" s="6" t="s">
        <v>141</v>
      </c>
      <c r="I4584" s="6" t="s">
        <v>448</v>
      </c>
      <c r="J4584" s="6" t="s">
        <v>979</v>
      </c>
      <c r="K4584" s="6" t="s">
        <v>1730</v>
      </c>
      <c r="L4584" s="6"/>
      <c r="M4584" s="6" t="s">
        <v>1731</v>
      </c>
      <c r="N4584" s="6" t="s">
        <v>4898</v>
      </c>
      <c r="O4584" s="6" t="s">
        <v>22</v>
      </c>
    </row>
    <row r="4585" spans="1:15" hidden="1">
      <c r="A4585" s="6" t="s">
        <v>15</v>
      </c>
      <c r="B4585" s="6" t="str">
        <f>"FES1162693236"</f>
        <v>FES1162693236</v>
      </c>
      <c r="C4585" s="7">
        <v>43619</v>
      </c>
      <c r="D4585" s="6">
        <v>1</v>
      </c>
      <c r="E4585" s="6">
        <v>2170691442</v>
      </c>
      <c r="F4585" s="6" t="s">
        <v>16</v>
      </c>
      <c r="G4585" s="6" t="s">
        <v>17</v>
      </c>
      <c r="H4585" s="6" t="s">
        <v>141</v>
      </c>
      <c r="I4585" s="6" t="s">
        <v>142</v>
      </c>
      <c r="J4585" s="6" t="s">
        <v>213</v>
      </c>
      <c r="K4585" s="6" t="s">
        <v>1730</v>
      </c>
      <c r="L4585" s="6"/>
      <c r="M4585" s="6" t="s">
        <v>1731</v>
      </c>
      <c r="N4585" s="6" t="s">
        <v>4898</v>
      </c>
      <c r="O4585" s="6" t="s">
        <v>22</v>
      </c>
    </row>
    <row r="4586" spans="1:15" hidden="1">
      <c r="A4586" s="6" t="s">
        <v>15</v>
      </c>
      <c r="B4586" s="6" t="str">
        <f>"FES1162693224"</f>
        <v>FES1162693224</v>
      </c>
      <c r="C4586" s="7">
        <v>43619</v>
      </c>
      <c r="D4586" s="6">
        <v>1</v>
      </c>
      <c r="E4586" s="6">
        <v>2170691423</v>
      </c>
      <c r="F4586" s="6" t="s">
        <v>16</v>
      </c>
      <c r="G4586" s="6" t="s">
        <v>17</v>
      </c>
      <c r="H4586" s="6" t="s">
        <v>43</v>
      </c>
      <c r="I4586" s="6" t="s">
        <v>44</v>
      </c>
      <c r="J4586" s="6" t="s">
        <v>748</v>
      </c>
      <c r="K4586" s="6" t="s">
        <v>1730</v>
      </c>
      <c r="L4586" s="6"/>
      <c r="M4586" s="6" t="s">
        <v>1731</v>
      </c>
      <c r="N4586" s="6" t="s">
        <v>4898</v>
      </c>
      <c r="O4586" s="6" t="s">
        <v>22</v>
      </c>
    </row>
    <row r="4587" spans="1:15" hidden="1">
      <c r="A4587" s="6" t="s">
        <v>15</v>
      </c>
      <c r="B4587" s="6" t="str">
        <f>"FES1162693188"</f>
        <v>FES1162693188</v>
      </c>
      <c r="C4587" s="7">
        <v>43619</v>
      </c>
      <c r="D4587" s="6">
        <v>1</v>
      </c>
      <c r="E4587" s="6">
        <v>2170691399</v>
      </c>
      <c r="F4587" s="6" t="s">
        <v>16</v>
      </c>
      <c r="G4587" s="6" t="s">
        <v>17</v>
      </c>
      <c r="H4587" s="6" t="s">
        <v>141</v>
      </c>
      <c r="I4587" s="6" t="s">
        <v>142</v>
      </c>
      <c r="J4587" s="6" t="s">
        <v>213</v>
      </c>
      <c r="K4587" s="6" t="s">
        <v>1730</v>
      </c>
      <c r="L4587" s="6"/>
      <c r="M4587" s="6" t="s">
        <v>1731</v>
      </c>
      <c r="N4587" s="6" t="s">
        <v>4898</v>
      </c>
      <c r="O4587" s="6" t="s">
        <v>22</v>
      </c>
    </row>
    <row r="4588" spans="1:15">
      <c r="A4588" s="6" t="s">
        <v>15</v>
      </c>
      <c r="B4588" s="6" t="str">
        <f>"FES1162693256"</f>
        <v>FES1162693256</v>
      </c>
      <c r="C4588" s="7">
        <v>43619</v>
      </c>
      <c r="D4588" s="6">
        <v>1</v>
      </c>
      <c r="E4588" s="6">
        <v>2170691473</v>
      </c>
      <c r="F4588" s="6" t="s">
        <v>16</v>
      </c>
      <c r="G4588" s="6" t="s">
        <v>17</v>
      </c>
      <c r="H4588" s="6" t="s">
        <v>17</v>
      </c>
      <c r="I4588" s="6" t="s">
        <v>64</v>
      </c>
      <c r="J4588" s="6" t="s">
        <v>155</v>
      </c>
      <c r="K4588" s="6" t="s">
        <v>1730</v>
      </c>
      <c r="L4588" s="6"/>
      <c r="M4588" s="6" t="s">
        <v>1731</v>
      </c>
      <c r="N4588" s="6" t="s">
        <v>4898</v>
      </c>
      <c r="O4588" s="6" t="s">
        <v>22</v>
      </c>
    </row>
    <row r="4589" spans="1:15" hidden="1">
      <c r="A4589" s="6" t="s">
        <v>15</v>
      </c>
      <c r="B4589" s="6" t="str">
        <f>"FES1162693157"</f>
        <v>FES1162693157</v>
      </c>
      <c r="C4589" s="7">
        <v>43619</v>
      </c>
      <c r="D4589" s="6">
        <v>1</v>
      </c>
      <c r="E4589" s="6">
        <v>2170691390</v>
      </c>
      <c r="F4589" s="6" t="s">
        <v>16</v>
      </c>
      <c r="G4589" s="6" t="s">
        <v>17</v>
      </c>
      <c r="H4589" s="6" t="s">
        <v>141</v>
      </c>
      <c r="I4589" s="6" t="s">
        <v>142</v>
      </c>
      <c r="J4589" s="6" t="s">
        <v>864</v>
      </c>
      <c r="K4589" s="6" t="s">
        <v>1730</v>
      </c>
      <c r="L4589" s="6"/>
      <c r="M4589" s="6" t="s">
        <v>1731</v>
      </c>
      <c r="N4589" s="6" t="s">
        <v>4898</v>
      </c>
      <c r="O4589" s="6" t="s">
        <v>22</v>
      </c>
    </row>
    <row r="4590" spans="1:15" hidden="1">
      <c r="A4590" s="6" t="s">
        <v>15</v>
      </c>
      <c r="B4590" s="6" t="str">
        <f>"FES1162693219"</f>
        <v>FES1162693219</v>
      </c>
      <c r="C4590" s="7">
        <v>43619</v>
      </c>
      <c r="D4590" s="6">
        <v>1</v>
      </c>
      <c r="E4590" s="6" t="s">
        <v>4997</v>
      </c>
      <c r="F4590" s="6" t="s">
        <v>16</v>
      </c>
      <c r="G4590" s="6" t="s">
        <v>17</v>
      </c>
      <c r="H4590" s="6" t="s">
        <v>141</v>
      </c>
      <c r="I4590" s="6" t="s">
        <v>142</v>
      </c>
      <c r="J4590" s="6" t="s">
        <v>4998</v>
      </c>
      <c r="K4590" s="6" t="s">
        <v>1730</v>
      </c>
      <c r="L4590" s="6"/>
      <c r="M4590" s="6" t="s">
        <v>1731</v>
      </c>
      <c r="N4590" s="6" t="s">
        <v>4898</v>
      </c>
      <c r="O4590" s="6" t="s">
        <v>22</v>
      </c>
    </row>
    <row r="4591" spans="1:15" hidden="1">
      <c r="A4591" s="6" t="s">
        <v>15</v>
      </c>
      <c r="B4591" s="6" t="str">
        <f>"FES1162693243"</f>
        <v>FES1162693243</v>
      </c>
      <c r="C4591" s="7">
        <v>43619</v>
      </c>
      <c r="D4591" s="6">
        <v>1</v>
      </c>
      <c r="E4591" s="6">
        <v>2170691432</v>
      </c>
      <c r="F4591" s="6" t="s">
        <v>16</v>
      </c>
      <c r="G4591" s="6" t="s">
        <v>17</v>
      </c>
      <c r="H4591" s="6" t="s">
        <v>141</v>
      </c>
      <c r="I4591" s="6" t="s">
        <v>142</v>
      </c>
      <c r="J4591" s="6" t="s">
        <v>976</v>
      </c>
      <c r="K4591" s="6" t="s">
        <v>1730</v>
      </c>
      <c r="L4591" s="6"/>
      <c r="M4591" s="6" t="s">
        <v>1731</v>
      </c>
      <c r="N4591" s="6" t="s">
        <v>4898</v>
      </c>
      <c r="O4591" s="6" t="s">
        <v>22</v>
      </c>
    </row>
    <row r="4592" spans="1:15" hidden="1">
      <c r="A4592" s="6" t="s">
        <v>15</v>
      </c>
      <c r="B4592" s="6" t="str">
        <f>"FES1162693258"</f>
        <v>FES1162693258</v>
      </c>
      <c r="C4592" s="7">
        <v>43619</v>
      </c>
      <c r="D4592" s="6">
        <v>1</v>
      </c>
      <c r="E4592" s="6">
        <v>2170691104</v>
      </c>
      <c r="F4592" s="6" t="s">
        <v>16</v>
      </c>
      <c r="G4592" s="6" t="s">
        <v>17</v>
      </c>
      <c r="H4592" s="6" t="s">
        <v>43</v>
      </c>
      <c r="I4592" s="6" t="s">
        <v>44</v>
      </c>
      <c r="J4592" s="6" t="s">
        <v>642</v>
      </c>
      <c r="K4592" s="6" t="s">
        <v>1730</v>
      </c>
      <c r="L4592" s="6"/>
      <c r="M4592" s="6" t="s">
        <v>1731</v>
      </c>
      <c r="N4592" s="6" t="s">
        <v>4898</v>
      </c>
      <c r="O4592" s="6" t="s">
        <v>22</v>
      </c>
    </row>
    <row r="4593" spans="1:15" hidden="1">
      <c r="A4593" s="6" t="s">
        <v>15</v>
      </c>
      <c r="B4593" s="6" t="str">
        <f>"FES1162693168"</f>
        <v>FES1162693168</v>
      </c>
      <c r="C4593" s="7">
        <v>43619</v>
      </c>
      <c r="D4593" s="6">
        <v>1</v>
      </c>
      <c r="E4593" s="6">
        <v>2170687791</v>
      </c>
      <c r="F4593" s="6" t="s">
        <v>16</v>
      </c>
      <c r="G4593" s="6" t="s">
        <v>17</v>
      </c>
      <c r="H4593" s="6" t="s">
        <v>141</v>
      </c>
      <c r="I4593" s="6" t="s">
        <v>4999</v>
      </c>
      <c r="J4593" s="6" t="s">
        <v>5000</v>
      </c>
      <c r="K4593" s="6" t="s">
        <v>1730</v>
      </c>
      <c r="L4593" s="6"/>
      <c r="M4593" s="6" t="s">
        <v>1731</v>
      </c>
      <c r="N4593" s="6" t="s">
        <v>4898</v>
      </c>
      <c r="O4593" s="6" t="s">
        <v>22</v>
      </c>
    </row>
    <row r="4594" spans="1:15" hidden="1">
      <c r="A4594" s="6" t="s">
        <v>15</v>
      </c>
      <c r="B4594" s="6" t="str">
        <f>"FES1162693264"</f>
        <v>FES1162693264</v>
      </c>
      <c r="C4594" s="7">
        <v>43619</v>
      </c>
      <c r="D4594" s="6">
        <v>1</v>
      </c>
      <c r="E4594" s="6">
        <v>2170695887</v>
      </c>
      <c r="F4594" s="6" t="s">
        <v>16</v>
      </c>
      <c r="G4594" s="6" t="s">
        <v>17</v>
      </c>
      <c r="H4594" s="6" t="s">
        <v>43</v>
      </c>
      <c r="I4594" s="6" t="s">
        <v>44</v>
      </c>
      <c r="J4594" s="6" t="s">
        <v>5001</v>
      </c>
      <c r="K4594" s="6" t="s">
        <v>1730</v>
      </c>
      <c r="L4594" s="6"/>
      <c r="M4594" s="6" t="s">
        <v>1731</v>
      </c>
      <c r="N4594" s="6" t="s">
        <v>4898</v>
      </c>
      <c r="O4594" s="6" t="s">
        <v>22</v>
      </c>
    </row>
    <row r="4595" spans="1:15" hidden="1">
      <c r="A4595" s="6" t="s">
        <v>15</v>
      </c>
      <c r="B4595" s="6" t="str">
        <f>"FES1162693272"</f>
        <v>FES1162693272</v>
      </c>
      <c r="C4595" s="7">
        <v>43619</v>
      </c>
      <c r="D4595" s="6">
        <v>1</v>
      </c>
      <c r="E4595" s="6">
        <v>21706912490</v>
      </c>
      <c r="F4595" s="6" t="s">
        <v>16</v>
      </c>
      <c r="G4595" s="6" t="s">
        <v>17</v>
      </c>
      <c r="H4595" s="6" t="s">
        <v>425</v>
      </c>
      <c r="I4595" s="6" t="s">
        <v>426</v>
      </c>
      <c r="J4595" s="6" t="s">
        <v>783</v>
      </c>
      <c r="K4595" s="6" t="s">
        <v>1730</v>
      </c>
      <c r="L4595" s="6"/>
      <c r="M4595" s="6" t="s">
        <v>1731</v>
      </c>
      <c r="N4595" s="6" t="s">
        <v>4898</v>
      </c>
      <c r="O4595" s="6" t="s">
        <v>22</v>
      </c>
    </row>
    <row r="4596" spans="1:15">
      <c r="A4596" s="6" t="s">
        <v>15</v>
      </c>
      <c r="B4596" s="6" t="str">
        <f>"FES1162693286"</f>
        <v>FES1162693286</v>
      </c>
      <c r="C4596" s="7">
        <v>43619</v>
      </c>
      <c r="D4596" s="6">
        <v>1</v>
      </c>
      <c r="E4596" s="6">
        <v>2170691510</v>
      </c>
      <c r="F4596" s="6" t="s">
        <v>16</v>
      </c>
      <c r="G4596" s="6" t="s">
        <v>17</v>
      </c>
      <c r="H4596" s="6" t="s">
        <v>17</v>
      </c>
      <c r="I4596" s="6" t="s">
        <v>64</v>
      </c>
      <c r="J4596" s="6" t="s">
        <v>5002</v>
      </c>
      <c r="K4596" s="6" t="s">
        <v>1730</v>
      </c>
      <c r="L4596" s="6"/>
      <c r="M4596" s="6" t="s">
        <v>1731</v>
      </c>
      <c r="N4596" s="6" t="s">
        <v>4898</v>
      </c>
      <c r="O4596" s="6" t="s">
        <v>22</v>
      </c>
    </row>
    <row r="4597" spans="1:15" hidden="1">
      <c r="A4597" s="6" t="s">
        <v>15</v>
      </c>
      <c r="B4597" s="6" t="str">
        <f>"FES1162693162"</f>
        <v>FES1162693162</v>
      </c>
      <c r="C4597" s="7">
        <v>43619</v>
      </c>
      <c r="D4597" s="6">
        <v>1</v>
      </c>
      <c r="E4597" s="6">
        <v>2170685687</v>
      </c>
      <c r="F4597" s="6" t="s">
        <v>16</v>
      </c>
      <c r="G4597" s="6" t="s">
        <v>17</v>
      </c>
      <c r="H4597" s="6" t="s">
        <v>141</v>
      </c>
      <c r="I4597" s="6" t="s">
        <v>185</v>
      </c>
      <c r="J4597" s="6" t="s">
        <v>503</v>
      </c>
      <c r="K4597" s="6" t="s">
        <v>1730</v>
      </c>
      <c r="L4597" s="6"/>
      <c r="M4597" s="6" t="s">
        <v>1731</v>
      </c>
      <c r="N4597" s="6" t="s">
        <v>4898</v>
      </c>
      <c r="O4597" s="6" t="s">
        <v>22</v>
      </c>
    </row>
    <row r="4598" spans="1:15" hidden="1">
      <c r="A4598" s="6" t="s">
        <v>15</v>
      </c>
      <c r="B4598" s="6" t="str">
        <f>"FES1162693196"</f>
        <v>FES1162693196</v>
      </c>
      <c r="C4598" s="7">
        <v>43619</v>
      </c>
      <c r="D4598" s="6">
        <v>1</v>
      </c>
      <c r="E4598" s="6">
        <v>2170691406</v>
      </c>
      <c r="F4598" s="6" t="s">
        <v>16</v>
      </c>
      <c r="G4598" s="6" t="s">
        <v>17</v>
      </c>
      <c r="H4598" s="6" t="s">
        <v>132</v>
      </c>
      <c r="I4598" s="6" t="s">
        <v>133</v>
      </c>
      <c r="J4598" s="6" t="s">
        <v>238</v>
      </c>
      <c r="K4598" s="6" t="s">
        <v>1730</v>
      </c>
      <c r="L4598" s="6"/>
      <c r="M4598" s="6" t="s">
        <v>1731</v>
      </c>
      <c r="N4598" s="6" t="s">
        <v>4898</v>
      </c>
      <c r="O4598" s="6" t="s">
        <v>22</v>
      </c>
    </row>
    <row r="4599" spans="1:15" hidden="1">
      <c r="A4599" s="6" t="s">
        <v>15</v>
      </c>
      <c r="B4599" s="6" t="str">
        <f>"FES1162693163"</f>
        <v>FES1162693163</v>
      </c>
      <c r="C4599" s="7">
        <v>43619</v>
      </c>
      <c r="D4599" s="6">
        <v>1</v>
      </c>
      <c r="E4599" s="6">
        <v>2170686932</v>
      </c>
      <c r="F4599" s="6" t="s">
        <v>16</v>
      </c>
      <c r="G4599" s="6" t="s">
        <v>17</v>
      </c>
      <c r="H4599" s="6" t="s">
        <v>141</v>
      </c>
      <c r="I4599" s="6" t="s">
        <v>185</v>
      </c>
      <c r="J4599" s="6" t="s">
        <v>1011</v>
      </c>
      <c r="K4599" s="7">
        <v>43620</v>
      </c>
      <c r="L4599" s="8">
        <v>0.33888888888888885</v>
      </c>
      <c r="M4599" s="6" t="s">
        <v>1012</v>
      </c>
      <c r="N4599" s="6" t="s">
        <v>21</v>
      </c>
      <c r="O4599" s="6" t="s">
        <v>22</v>
      </c>
    </row>
    <row r="4600" spans="1:15" hidden="1">
      <c r="A4600" s="6" t="s">
        <v>15</v>
      </c>
      <c r="B4600" s="6" t="str">
        <f>"FES1162693192"</f>
        <v>FES1162693192</v>
      </c>
      <c r="C4600" s="7">
        <v>43619</v>
      </c>
      <c r="D4600" s="6">
        <v>1</v>
      </c>
      <c r="E4600" s="6">
        <v>2170689929</v>
      </c>
      <c r="F4600" s="6" t="s">
        <v>16</v>
      </c>
      <c r="G4600" s="6" t="s">
        <v>17</v>
      </c>
      <c r="H4600" s="6" t="s">
        <v>132</v>
      </c>
      <c r="I4600" s="6" t="s">
        <v>133</v>
      </c>
      <c r="J4600" s="6" t="s">
        <v>189</v>
      </c>
      <c r="K4600" s="6" t="s">
        <v>1730</v>
      </c>
      <c r="L4600" s="6"/>
      <c r="M4600" s="6" t="s">
        <v>1731</v>
      </c>
      <c r="N4600" s="6" t="s">
        <v>4898</v>
      </c>
      <c r="O4600" s="6" t="s">
        <v>22</v>
      </c>
    </row>
    <row r="4601" spans="1:15" hidden="1">
      <c r="A4601" s="6" t="s">
        <v>15</v>
      </c>
      <c r="B4601" s="6" t="str">
        <f>"FES1162693244"</f>
        <v>FES1162693244</v>
      </c>
      <c r="C4601" s="7">
        <v>43619</v>
      </c>
      <c r="D4601" s="6">
        <v>1</v>
      </c>
      <c r="E4601" s="6">
        <v>2170691454</v>
      </c>
      <c r="F4601" s="6" t="s">
        <v>16</v>
      </c>
      <c r="G4601" s="6" t="s">
        <v>17</v>
      </c>
      <c r="H4601" s="6" t="s">
        <v>141</v>
      </c>
      <c r="I4601" s="6" t="s">
        <v>142</v>
      </c>
      <c r="J4601" s="6" t="s">
        <v>976</v>
      </c>
      <c r="K4601" s="6" t="s">
        <v>1730</v>
      </c>
      <c r="L4601" s="6"/>
      <c r="M4601" s="6" t="s">
        <v>1731</v>
      </c>
      <c r="N4601" s="6" t="s">
        <v>4898</v>
      </c>
      <c r="O4601" s="6" t="s">
        <v>22</v>
      </c>
    </row>
    <row r="4602" spans="1:15">
      <c r="A4602" s="6" t="s">
        <v>15</v>
      </c>
      <c r="B4602" s="6" t="str">
        <f>"FES1162693189"</f>
        <v>FES1162693189</v>
      </c>
      <c r="C4602" s="7">
        <v>43619</v>
      </c>
      <c r="D4602" s="6">
        <v>1</v>
      </c>
      <c r="E4602" s="6">
        <v>2170688696</v>
      </c>
      <c r="F4602" s="6" t="s">
        <v>16</v>
      </c>
      <c r="G4602" s="6" t="s">
        <v>17</v>
      </c>
      <c r="H4602" s="6" t="s">
        <v>17</v>
      </c>
      <c r="I4602" s="6" t="s">
        <v>18</v>
      </c>
      <c r="J4602" s="6" t="s">
        <v>3246</v>
      </c>
      <c r="K4602" s="6" t="s">
        <v>1730</v>
      </c>
      <c r="L4602" s="6"/>
      <c r="M4602" s="6" t="s">
        <v>1731</v>
      </c>
      <c r="N4602" s="6" t="s">
        <v>4898</v>
      </c>
      <c r="O4602" s="6" t="s">
        <v>22</v>
      </c>
    </row>
    <row r="4603" spans="1:15">
      <c r="A4603" s="6" t="s">
        <v>15</v>
      </c>
      <c r="B4603" s="6" t="str">
        <f>"FES1162693268"</f>
        <v>FES1162693268</v>
      </c>
      <c r="C4603" s="7">
        <v>43619</v>
      </c>
      <c r="D4603" s="6">
        <v>1</v>
      </c>
      <c r="E4603" s="6">
        <v>2170691486</v>
      </c>
      <c r="F4603" s="6" t="s">
        <v>16</v>
      </c>
      <c r="G4603" s="6" t="s">
        <v>17</v>
      </c>
      <c r="H4603" s="6" t="s">
        <v>17</v>
      </c>
      <c r="I4603" s="6" t="s">
        <v>84</v>
      </c>
      <c r="J4603" s="6" t="s">
        <v>1459</v>
      </c>
      <c r="K4603" s="6" t="s">
        <v>1730</v>
      </c>
      <c r="L4603" s="6"/>
      <c r="M4603" s="6" t="s">
        <v>1731</v>
      </c>
      <c r="N4603" s="6" t="s">
        <v>4898</v>
      </c>
      <c r="O4603" s="6" t="s">
        <v>22</v>
      </c>
    </row>
    <row r="4604" spans="1:15">
      <c r="A4604" s="6" t="s">
        <v>15</v>
      </c>
      <c r="B4604" s="6" t="str">
        <f>"FES1162693214"</f>
        <v>FES1162693214</v>
      </c>
      <c r="C4604" s="7">
        <v>43619</v>
      </c>
      <c r="D4604" s="6">
        <v>1</v>
      </c>
      <c r="E4604" s="6">
        <v>2170691247</v>
      </c>
      <c r="F4604" s="6" t="s">
        <v>16</v>
      </c>
      <c r="G4604" s="6" t="s">
        <v>17</v>
      </c>
      <c r="H4604" s="6" t="s">
        <v>17</v>
      </c>
      <c r="I4604" s="6" t="s">
        <v>103</v>
      </c>
      <c r="J4604" s="6" t="s">
        <v>3170</v>
      </c>
      <c r="K4604" s="6" t="s">
        <v>1730</v>
      </c>
      <c r="L4604" s="6"/>
      <c r="M4604" s="6" t="s">
        <v>1731</v>
      </c>
      <c r="N4604" s="6" t="s">
        <v>4898</v>
      </c>
      <c r="O4604" s="6" t="s">
        <v>22</v>
      </c>
    </row>
    <row r="4605" spans="1:15" hidden="1">
      <c r="A4605" s="6" t="s">
        <v>15</v>
      </c>
      <c r="B4605" s="6" t="str">
        <f>"FES1162693195"</f>
        <v>FES1162693195</v>
      </c>
      <c r="C4605" s="7">
        <v>43619</v>
      </c>
      <c r="D4605" s="6">
        <v>1</v>
      </c>
      <c r="E4605" s="6">
        <v>2170691405</v>
      </c>
      <c r="F4605" s="6" t="s">
        <v>16</v>
      </c>
      <c r="G4605" s="6" t="s">
        <v>17</v>
      </c>
      <c r="H4605" s="6" t="s">
        <v>32</v>
      </c>
      <c r="I4605" s="6" t="s">
        <v>1321</v>
      </c>
      <c r="J4605" s="6" t="s">
        <v>1322</v>
      </c>
      <c r="K4605" s="6" t="s">
        <v>1730</v>
      </c>
      <c r="L4605" s="6"/>
      <c r="M4605" s="6" t="s">
        <v>1731</v>
      </c>
      <c r="N4605" s="6" t="s">
        <v>4898</v>
      </c>
      <c r="O4605" s="6" t="s">
        <v>22</v>
      </c>
    </row>
    <row r="4606" spans="1:15" hidden="1">
      <c r="A4606" s="6" t="s">
        <v>15</v>
      </c>
      <c r="B4606" s="6" t="str">
        <f>"FES1162693191"</f>
        <v>FES1162693191</v>
      </c>
      <c r="C4606" s="7">
        <v>43619</v>
      </c>
      <c r="D4606" s="6">
        <v>2</v>
      </c>
      <c r="E4606" s="6">
        <v>2170689528</v>
      </c>
      <c r="F4606" s="6" t="s">
        <v>16</v>
      </c>
      <c r="G4606" s="6" t="s">
        <v>17</v>
      </c>
      <c r="H4606" s="6" t="s">
        <v>32</v>
      </c>
      <c r="I4606" s="6" t="s">
        <v>33</v>
      </c>
      <c r="J4606" s="6" t="s">
        <v>34</v>
      </c>
      <c r="K4606" s="6" t="s">
        <v>1730</v>
      </c>
      <c r="L4606" s="6"/>
      <c r="M4606" s="6" t="s">
        <v>1731</v>
      </c>
      <c r="N4606" s="6" t="s">
        <v>4898</v>
      </c>
      <c r="O4606" s="6" t="s">
        <v>22</v>
      </c>
    </row>
    <row r="4607" spans="1:15" hidden="1">
      <c r="A4607" s="6" t="s">
        <v>15</v>
      </c>
      <c r="B4607" s="6" t="str">
        <f>"FES1162693066"</f>
        <v>FES1162693066</v>
      </c>
      <c r="C4607" s="7">
        <v>43619</v>
      </c>
      <c r="D4607" s="6">
        <v>1</v>
      </c>
      <c r="E4607" s="6">
        <v>2170691338</v>
      </c>
      <c r="F4607" s="6" t="s">
        <v>16</v>
      </c>
      <c r="G4607" s="6" t="s">
        <v>17</v>
      </c>
      <c r="H4607" s="6" t="s">
        <v>290</v>
      </c>
      <c r="I4607" s="6" t="s">
        <v>291</v>
      </c>
      <c r="J4607" s="6" t="s">
        <v>1668</v>
      </c>
      <c r="K4607" s="6" t="s">
        <v>1730</v>
      </c>
      <c r="L4607" s="6"/>
      <c r="M4607" s="6" t="s">
        <v>1731</v>
      </c>
      <c r="N4607" s="6" t="s">
        <v>4898</v>
      </c>
      <c r="O4607" s="6" t="s">
        <v>22</v>
      </c>
    </row>
    <row r="4608" spans="1:15">
      <c r="A4608" s="6" t="s">
        <v>15</v>
      </c>
      <c r="B4608" s="6" t="str">
        <f>"FES1162693279"</f>
        <v>FES1162693279</v>
      </c>
      <c r="C4608" s="7">
        <v>43619</v>
      </c>
      <c r="D4608" s="6">
        <v>1</v>
      </c>
      <c r="E4608" s="6">
        <v>2170691499</v>
      </c>
      <c r="F4608" s="6" t="s">
        <v>16</v>
      </c>
      <c r="G4608" s="6" t="s">
        <v>17</v>
      </c>
      <c r="H4608" s="6" t="s">
        <v>17</v>
      </c>
      <c r="I4608" s="6" t="s">
        <v>103</v>
      </c>
      <c r="J4608" s="6" t="s">
        <v>616</v>
      </c>
      <c r="K4608" s="6" t="s">
        <v>1730</v>
      </c>
      <c r="L4608" s="6"/>
      <c r="M4608" s="6" t="s">
        <v>1731</v>
      </c>
      <c r="N4608" s="6" t="s">
        <v>4898</v>
      </c>
      <c r="O4608" s="6" t="s">
        <v>22</v>
      </c>
    </row>
    <row r="4609" spans="1:15" hidden="1">
      <c r="A4609" s="6" t="s">
        <v>15</v>
      </c>
      <c r="B4609" s="6" t="str">
        <f>"FES1162693227"</f>
        <v>FES1162693227</v>
      </c>
      <c r="C4609" s="7">
        <v>43619</v>
      </c>
      <c r="D4609" s="6">
        <v>1</v>
      </c>
      <c r="E4609" s="6">
        <v>2170691426</v>
      </c>
      <c r="F4609" s="6" t="s">
        <v>16</v>
      </c>
      <c r="G4609" s="6" t="s">
        <v>17</v>
      </c>
      <c r="H4609" s="6" t="s">
        <v>300</v>
      </c>
      <c r="I4609" s="6" t="s">
        <v>301</v>
      </c>
      <c r="J4609" s="6" t="s">
        <v>5003</v>
      </c>
      <c r="K4609" s="6" t="s">
        <v>1730</v>
      </c>
      <c r="L4609" s="6"/>
      <c r="M4609" s="6" t="s">
        <v>1731</v>
      </c>
      <c r="N4609" s="6" t="s">
        <v>4898</v>
      </c>
      <c r="O4609" s="6" t="s">
        <v>22</v>
      </c>
    </row>
    <row r="4610" spans="1:15" hidden="1">
      <c r="A4610" s="6" t="s">
        <v>15</v>
      </c>
      <c r="B4610" s="6" t="str">
        <f>"FES1162693267"</f>
        <v>FES1162693267</v>
      </c>
      <c r="C4610" s="7">
        <v>43619</v>
      </c>
      <c r="D4610" s="6">
        <v>1</v>
      </c>
      <c r="E4610" s="6">
        <v>21706891485</v>
      </c>
      <c r="F4610" s="6" t="s">
        <v>16</v>
      </c>
      <c r="G4610" s="6" t="s">
        <v>17</v>
      </c>
      <c r="H4610" s="6" t="s">
        <v>290</v>
      </c>
      <c r="I4610" s="6" t="s">
        <v>291</v>
      </c>
      <c r="J4610" s="6" t="s">
        <v>1721</v>
      </c>
      <c r="K4610" s="6" t="s">
        <v>1730</v>
      </c>
      <c r="L4610" s="6"/>
      <c r="M4610" s="6" t="s">
        <v>1731</v>
      </c>
      <c r="N4610" s="6" t="s">
        <v>4898</v>
      </c>
      <c r="O4610" s="6" t="s">
        <v>22</v>
      </c>
    </row>
    <row r="4611" spans="1:15" hidden="1">
      <c r="A4611" s="6" t="s">
        <v>15</v>
      </c>
      <c r="B4611" s="6" t="str">
        <f>"FES1162693138"</f>
        <v>FES1162693138</v>
      </c>
      <c r="C4611" s="7">
        <v>43619</v>
      </c>
      <c r="D4611" s="6">
        <v>1</v>
      </c>
      <c r="E4611" s="6">
        <v>2170691357</v>
      </c>
      <c r="F4611" s="6" t="s">
        <v>16</v>
      </c>
      <c r="G4611" s="6" t="s">
        <v>17</v>
      </c>
      <c r="H4611" s="6" t="s">
        <v>2611</v>
      </c>
      <c r="I4611" s="6" t="s">
        <v>3949</v>
      </c>
      <c r="J4611" s="6" t="s">
        <v>3950</v>
      </c>
      <c r="K4611" s="6" t="s">
        <v>1730</v>
      </c>
      <c r="L4611" s="6"/>
      <c r="M4611" s="6" t="s">
        <v>1731</v>
      </c>
      <c r="N4611" s="6" t="s">
        <v>4898</v>
      </c>
      <c r="O4611" s="6" t="s">
        <v>22</v>
      </c>
    </row>
    <row r="4612" spans="1:15" hidden="1">
      <c r="A4612" s="6" t="s">
        <v>15</v>
      </c>
      <c r="B4612" s="6" t="str">
        <f>"FES1162693287"</f>
        <v>FES1162693287</v>
      </c>
      <c r="C4612" s="7">
        <v>43619</v>
      </c>
      <c r="D4612" s="6">
        <v>1</v>
      </c>
      <c r="E4612" s="6">
        <v>2170691512</v>
      </c>
      <c r="F4612" s="6" t="s">
        <v>16</v>
      </c>
      <c r="G4612" s="6" t="s">
        <v>17</v>
      </c>
      <c r="H4612" s="6" t="s">
        <v>43</v>
      </c>
      <c r="I4612" s="6" t="s">
        <v>75</v>
      </c>
      <c r="J4612" s="6" t="s">
        <v>4990</v>
      </c>
      <c r="K4612" s="6" t="s">
        <v>1730</v>
      </c>
      <c r="L4612" s="6"/>
      <c r="M4612" s="6" t="s">
        <v>1731</v>
      </c>
      <c r="N4612" s="6" t="s">
        <v>4898</v>
      </c>
      <c r="O4612" s="6" t="s">
        <v>22</v>
      </c>
    </row>
    <row r="4613" spans="1:15" hidden="1">
      <c r="A4613" s="6" t="s">
        <v>15</v>
      </c>
      <c r="B4613" s="6" t="str">
        <f>"FES1162693281"</f>
        <v>FES1162693281</v>
      </c>
      <c r="C4613" s="7">
        <v>43619</v>
      </c>
      <c r="D4613" s="6">
        <v>1</v>
      </c>
      <c r="E4613" s="6">
        <v>2170691502</v>
      </c>
      <c r="F4613" s="6" t="s">
        <v>16</v>
      </c>
      <c r="G4613" s="6" t="s">
        <v>17</v>
      </c>
      <c r="H4613" s="6" t="s">
        <v>43</v>
      </c>
      <c r="I4613" s="6" t="s">
        <v>44</v>
      </c>
      <c r="J4613" s="6" t="s">
        <v>399</v>
      </c>
      <c r="K4613" s="6" t="s">
        <v>1730</v>
      </c>
      <c r="L4613" s="6"/>
      <c r="M4613" s="6" t="s">
        <v>1731</v>
      </c>
      <c r="N4613" s="6" t="s">
        <v>4898</v>
      </c>
      <c r="O4613" s="6" t="s">
        <v>22</v>
      </c>
    </row>
    <row r="4614" spans="1:15" hidden="1">
      <c r="A4614" s="6" t="s">
        <v>15</v>
      </c>
      <c r="B4614" s="6" t="str">
        <f>"FES1162693284"</f>
        <v>FES1162693284</v>
      </c>
      <c r="C4614" s="7">
        <v>43619</v>
      </c>
      <c r="D4614" s="6">
        <v>1</v>
      </c>
      <c r="E4614" s="6">
        <v>2170691508</v>
      </c>
      <c r="F4614" s="6" t="s">
        <v>16</v>
      </c>
      <c r="G4614" s="6" t="s">
        <v>17</v>
      </c>
      <c r="H4614" s="6" t="s">
        <v>43</v>
      </c>
      <c r="I4614" s="6" t="s">
        <v>44</v>
      </c>
      <c r="J4614" s="6" t="s">
        <v>399</v>
      </c>
      <c r="K4614" s="6" t="s">
        <v>1730</v>
      </c>
      <c r="L4614" s="6"/>
      <c r="M4614" s="6" t="s">
        <v>1731</v>
      </c>
      <c r="N4614" s="6" t="s">
        <v>4898</v>
      </c>
      <c r="O4614" s="6" t="s">
        <v>22</v>
      </c>
    </row>
    <row r="4615" spans="1:15" hidden="1">
      <c r="A4615" s="6" t="s">
        <v>15</v>
      </c>
      <c r="B4615" s="6" t="str">
        <f>"FES1162693293"</f>
        <v>FES1162693293</v>
      </c>
      <c r="C4615" s="7">
        <v>43619</v>
      </c>
      <c r="D4615" s="6">
        <v>1</v>
      </c>
      <c r="E4615" s="6">
        <v>2170691516</v>
      </c>
      <c r="F4615" s="6" t="s">
        <v>16</v>
      </c>
      <c r="G4615" s="6" t="s">
        <v>17</v>
      </c>
      <c r="H4615" s="6" t="s">
        <v>425</v>
      </c>
      <c r="I4615" s="6" t="s">
        <v>426</v>
      </c>
      <c r="J4615" s="6" t="s">
        <v>783</v>
      </c>
      <c r="K4615" s="6" t="s">
        <v>1730</v>
      </c>
      <c r="L4615" s="6"/>
      <c r="M4615" s="6" t="s">
        <v>1731</v>
      </c>
      <c r="N4615" s="6" t="s">
        <v>4898</v>
      </c>
      <c r="O4615" s="6" t="s">
        <v>22</v>
      </c>
    </row>
    <row r="4616" spans="1:15" hidden="1">
      <c r="A4616" s="6" t="s">
        <v>15</v>
      </c>
      <c r="B4616" s="6" t="str">
        <f>"FES1162693172"</f>
        <v>FES1162693172</v>
      </c>
      <c r="C4616" s="7">
        <v>43619</v>
      </c>
      <c r="D4616" s="6">
        <v>1</v>
      </c>
      <c r="E4616" s="6">
        <v>2170688892</v>
      </c>
      <c r="F4616" s="6" t="s">
        <v>4286</v>
      </c>
      <c r="G4616" s="6" t="s">
        <v>17</v>
      </c>
      <c r="H4616" s="6" t="s">
        <v>141</v>
      </c>
      <c r="I4616" s="6" t="s">
        <v>185</v>
      </c>
      <c r="J4616" s="6" t="s">
        <v>192</v>
      </c>
      <c r="K4616" s="6" t="s">
        <v>1730</v>
      </c>
      <c r="L4616" s="6"/>
      <c r="M4616" s="6" t="s">
        <v>1731</v>
      </c>
      <c r="N4616" s="6" t="s">
        <v>4898</v>
      </c>
      <c r="O4616" s="6" t="s">
        <v>22</v>
      </c>
    </row>
    <row r="4617" spans="1:15" hidden="1">
      <c r="A4617" s="6" t="s">
        <v>15</v>
      </c>
      <c r="B4617" s="6" t="str">
        <f>"FES1162693289"</f>
        <v>FES1162693289</v>
      </c>
      <c r="C4617" s="7">
        <v>43619</v>
      </c>
      <c r="D4617" s="6">
        <v>1</v>
      </c>
      <c r="E4617" s="6">
        <v>2170685463</v>
      </c>
      <c r="F4617" s="6" t="s">
        <v>16</v>
      </c>
      <c r="G4617" s="6" t="s">
        <v>17</v>
      </c>
      <c r="H4617" s="6" t="s">
        <v>141</v>
      </c>
      <c r="I4617" s="6" t="s">
        <v>185</v>
      </c>
      <c r="J4617" s="6" t="s">
        <v>5004</v>
      </c>
      <c r="K4617" s="6" t="s">
        <v>1730</v>
      </c>
      <c r="L4617" s="6"/>
      <c r="M4617" s="6" t="s">
        <v>1731</v>
      </c>
      <c r="N4617" s="6" t="s">
        <v>4898</v>
      </c>
      <c r="O4617" s="6" t="s">
        <v>22</v>
      </c>
    </row>
    <row r="4618" spans="1:15" hidden="1">
      <c r="A4618" s="6" t="s">
        <v>15</v>
      </c>
      <c r="B4618" s="6" t="str">
        <f>"FES1162693220"</f>
        <v>FES1162693220</v>
      </c>
      <c r="C4618" s="7">
        <v>43619</v>
      </c>
      <c r="D4618" s="6">
        <v>1</v>
      </c>
      <c r="E4618" s="6">
        <v>2170689983</v>
      </c>
      <c r="F4618" s="6" t="s">
        <v>4286</v>
      </c>
      <c r="G4618" s="6" t="s">
        <v>17</v>
      </c>
      <c r="H4618" s="6" t="s">
        <v>141</v>
      </c>
      <c r="I4618" s="6" t="s">
        <v>142</v>
      </c>
      <c r="J4618" s="6" t="s">
        <v>4998</v>
      </c>
      <c r="K4618" s="6" t="s">
        <v>1730</v>
      </c>
      <c r="L4618" s="6"/>
      <c r="M4618" s="6" t="s">
        <v>1731</v>
      </c>
      <c r="N4618" s="6" t="s">
        <v>4898</v>
      </c>
      <c r="O4618" s="6" t="s">
        <v>494</v>
      </c>
    </row>
    <row r="4619" spans="1:15">
      <c r="A4619" s="6" t="s">
        <v>15</v>
      </c>
      <c r="B4619" s="6" t="str">
        <f>"FES1162693246"</f>
        <v>FES1162693246</v>
      </c>
      <c r="C4619" s="7">
        <v>43619</v>
      </c>
      <c r="D4619" s="6">
        <v>1</v>
      </c>
      <c r="E4619" s="6">
        <v>2170691456</v>
      </c>
      <c r="F4619" s="6" t="s">
        <v>16</v>
      </c>
      <c r="G4619" s="6" t="s">
        <v>17</v>
      </c>
      <c r="H4619" s="6" t="s">
        <v>17</v>
      </c>
      <c r="I4619" s="6" t="s">
        <v>18</v>
      </c>
      <c r="J4619" s="6" t="s">
        <v>2032</v>
      </c>
      <c r="K4619" s="6" t="s">
        <v>1730</v>
      </c>
      <c r="L4619" s="6"/>
      <c r="M4619" s="6" t="s">
        <v>1731</v>
      </c>
      <c r="N4619" s="6" t="s">
        <v>4898</v>
      </c>
      <c r="O4619" s="6" t="s">
        <v>22</v>
      </c>
    </row>
    <row r="4620" spans="1:15" hidden="1">
      <c r="A4620" s="6" t="s">
        <v>15</v>
      </c>
      <c r="B4620" s="6" t="str">
        <f>"FES1162693292"</f>
        <v>FES1162693292</v>
      </c>
      <c r="C4620" s="7">
        <v>43619</v>
      </c>
      <c r="D4620" s="6">
        <v>1</v>
      </c>
      <c r="E4620" s="6">
        <v>2170691515</v>
      </c>
      <c r="F4620" s="6" t="s">
        <v>16</v>
      </c>
      <c r="G4620" s="6" t="s">
        <v>17</v>
      </c>
      <c r="H4620" s="6" t="s">
        <v>43</v>
      </c>
      <c r="I4620" s="6" t="s">
        <v>44</v>
      </c>
      <c r="J4620" s="6" t="s">
        <v>3597</v>
      </c>
      <c r="K4620" s="6" t="s">
        <v>1730</v>
      </c>
      <c r="L4620" s="6"/>
      <c r="M4620" s="6" t="s">
        <v>1731</v>
      </c>
      <c r="N4620" s="6" t="s">
        <v>4898</v>
      </c>
      <c r="O4620" s="6" t="s">
        <v>22</v>
      </c>
    </row>
    <row r="4621" spans="1:15">
      <c r="A4621" s="6" t="s">
        <v>15</v>
      </c>
      <c r="B4621" s="6" t="str">
        <f>"FES1162693266"</f>
        <v>FES1162693266</v>
      </c>
      <c r="C4621" s="7">
        <v>43619</v>
      </c>
      <c r="D4621" s="6">
        <v>1</v>
      </c>
      <c r="E4621" s="6">
        <v>2170691484</v>
      </c>
      <c r="F4621" s="6" t="s">
        <v>16</v>
      </c>
      <c r="G4621" s="6" t="s">
        <v>17</v>
      </c>
      <c r="H4621" s="6" t="s">
        <v>17</v>
      </c>
      <c r="I4621" s="6" t="s">
        <v>18</v>
      </c>
      <c r="J4621" s="6" t="s">
        <v>5005</v>
      </c>
      <c r="K4621" s="6" t="s">
        <v>1730</v>
      </c>
      <c r="L4621" s="6"/>
      <c r="M4621" s="6" t="s">
        <v>1731</v>
      </c>
      <c r="N4621" s="6" t="s">
        <v>4898</v>
      </c>
      <c r="O4621" s="6" t="s">
        <v>22</v>
      </c>
    </row>
    <row r="4622" spans="1:15">
      <c r="A4622" s="6" t="s">
        <v>15</v>
      </c>
      <c r="B4622" s="6" t="str">
        <f>"FES1162693291"</f>
        <v>FES1162693291</v>
      </c>
      <c r="C4622" s="7">
        <v>43619</v>
      </c>
      <c r="D4622" s="6">
        <v>1</v>
      </c>
      <c r="E4622" s="6">
        <v>2170691514</v>
      </c>
      <c r="F4622" s="6" t="s">
        <v>16</v>
      </c>
      <c r="G4622" s="6" t="s">
        <v>17</v>
      </c>
      <c r="H4622" s="6" t="s">
        <v>17</v>
      </c>
      <c r="I4622" s="6" t="s">
        <v>421</v>
      </c>
      <c r="J4622" s="6" t="s">
        <v>422</v>
      </c>
      <c r="K4622" s="6" t="s">
        <v>1730</v>
      </c>
      <c r="L4622" s="6"/>
      <c r="M4622" s="6" t="s">
        <v>1731</v>
      </c>
      <c r="N4622" s="6" t="s">
        <v>4898</v>
      </c>
      <c r="O4622" s="6" t="s">
        <v>22</v>
      </c>
    </row>
    <row r="4623" spans="1:15" hidden="1">
      <c r="A4623" s="6" t="s">
        <v>15</v>
      </c>
      <c r="B4623" s="6" t="str">
        <f>"FES1162693234"</f>
        <v>FES1162693234</v>
      </c>
      <c r="C4623" s="7">
        <v>43619</v>
      </c>
      <c r="D4623" s="6">
        <v>1</v>
      </c>
      <c r="E4623" s="6">
        <v>2170611438</v>
      </c>
      <c r="F4623" s="6" t="s">
        <v>16</v>
      </c>
      <c r="G4623" s="6" t="s">
        <v>17</v>
      </c>
      <c r="H4623" s="6" t="s">
        <v>290</v>
      </c>
      <c r="I4623" s="6" t="s">
        <v>291</v>
      </c>
      <c r="J4623" s="6" t="s">
        <v>1744</v>
      </c>
      <c r="K4623" s="6" t="s">
        <v>1730</v>
      </c>
      <c r="L4623" s="6"/>
      <c r="M4623" s="6" t="s">
        <v>1731</v>
      </c>
      <c r="N4623" s="6" t="s">
        <v>4898</v>
      </c>
      <c r="O4623" s="6" t="s">
        <v>22</v>
      </c>
    </row>
    <row r="4624" spans="1:15" hidden="1">
      <c r="A4624" s="6" t="s">
        <v>15</v>
      </c>
      <c r="B4624" s="6" t="str">
        <f>"FES1162693277"</f>
        <v>FES1162693277</v>
      </c>
      <c r="C4624" s="7">
        <v>43619</v>
      </c>
      <c r="D4624" s="6">
        <v>1</v>
      </c>
      <c r="E4624" s="6">
        <v>2170691496</v>
      </c>
      <c r="F4624" s="6" t="s">
        <v>16</v>
      </c>
      <c r="G4624" s="6" t="s">
        <v>17</v>
      </c>
      <c r="H4624" s="6" t="s">
        <v>132</v>
      </c>
      <c r="I4624" s="6" t="s">
        <v>133</v>
      </c>
      <c r="J4624" s="6" t="s">
        <v>182</v>
      </c>
      <c r="K4624" s="6" t="s">
        <v>1730</v>
      </c>
      <c r="L4624" s="6"/>
      <c r="M4624" s="6" t="s">
        <v>1731</v>
      </c>
      <c r="N4624" s="6" t="s">
        <v>4898</v>
      </c>
      <c r="O4624" s="6" t="s">
        <v>22</v>
      </c>
    </row>
    <row r="4625" spans="1:15" hidden="1">
      <c r="A4625" s="6" t="s">
        <v>15</v>
      </c>
      <c r="B4625" s="6" t="str">
        <f>"FES1162693265"</f>
        <v>FES1162693265</v>
      </c>
      <c r="C4625" s="7">
        <v>43619</v>
      </c>
      <c r="D4625" s="6">
        <v>1</v>
      </c>
      <c r="E4625" s="6">
        <v>2170691483</v>
      </c>
      <c r="F4625" s="6" t="s">
        <v>16</v>
      </c>
      <c r="G4625" s="6" t="s">
        <v>17</v>
      </c>
      <c r="H4625" s="6" t="s">
        <v>37</v>
      </c>
      <c r="I4625" s="6" t="s">
        <v>38</v>
      </c>
      <c r="J4625" s="6" t="s">
        <v>535</v>
      </c>
      <c r="K4625" s="6" t="s">
        <v>1730</v>
      </c>
      <c r="L4625" s="6"/>
      <c r="M4625" s="6" t="s">
        <v>1731</v>
      </c>
      <c r="N4625" s="6" t="s">
        <v>4898</v>
      </c>
      <c r="O4625" s="6" t="s">
        <v>22</v>
      </c>
    </row>
    <row r="4626" spans="1:15" hidden="1">
      <c r="A4626" s="6" t="s">
        <v>15</v>
      </c>
      <c r="B4626" s="6" t="str">
        <f>"FES1162693271"</f>
        <v>FES1162693271</v>
      </c>
      <c r="C4626" s="7">
        <v>43619</v>
      </c>
      <c r="D4626" s="6">
        <v>1</v>
      </c>
      <c r="E4626" s="6">
        <v>2170691489</v>
      </c>
      <c r="F4626" s="6" t="s">
        <v>16</v>
      </c>
      <c r="G4626" s="6" t="s">
        <v>17</v>
      </c>
      <c r="H4626" s="6" t="s">
        <v>132</v>
      </c>
      <c r="I4626" s="6" t="s">
        <v>133</v>
      </c>
      <c r="J4626" s="6" t="s">
        <v>437</v>
      </c>
      <c r="K4626" s="6" t="s">
        <v>1730</v>
      </c>
      <c r="L4626" s="6"/>
      <c r="M4626" s="6" t="s">
        <v>1731</v>
      </c>
      <c r="N4626" s="6" t="s">
        <v>4898</v>
      </c>
      <c r="O4626" s="6" t="s">
        <v>22</v>
      </c>
    </row>
    <row r="4627" spans="1:15" hidden="1">
      <c r="A4627" s="6" t="s">
        <v>15</v>
      </c>
      <c r="B4627" s="6" t="str">
        <f>"FES1162693207"</f>
        <v>FES1162693207</v>
      </c>
      <c r="C4627" s="7">
        <v>43619</v>
      </c>
      <c r="D4627" s="6">
        <v>2</v>
      </c>
      <c r="E4627" s="6">
        <v>2170691415</v>
      </c>
      <c r="F4627" s="6" t="s">
        <v>4286</v>
      </c>
      <c r="G4627" s="6" t="s">
        <v>17</v>
      </c>
      <c r="H4627" s="6" t="s">
        <v>300</v>
      </c>
      <c r="I4627" s="6" t="s">
        <v>301</v>
      </c>
      <c r="J4627" s="6" t="s">
        <v>302</v>
      </c>
      <c r="K4627" s="6" t="s">
        <v>1730</v>
      </c>
      <c r="L4627" s="6"/>
      <c r="M4627" s="6" t="s">
        <v>1731</v>
      </c>
      <c r="N4627" s="6" t="s">
        <v>4898</v>
      </c>
      <c r="O4627" s="6" t="s">
        <v>22</v>
      </c>
    </row>
    <row r="4628" spans="1:15" hidden="1">
      <c r="A4628" s="6" t="s">
        <v>15</v>
      </c>
      <c r="B4628" s="6" t="str">
        <f>"FES1162693285"</f>
        <v>FES1162693285</v>
      </c>
      <c r="C4628" s="7">
        <v>43619</v>
      </c>
      <c r="D4628" s="6">
        <v>1</v>
      </c>
      <c r="E4628" s="6">
        <v>2170691509</v>
      </c>
      <c r="F4628" s="6" t="s">
        <v>16</v>
      </c>
      <c r="G4628" s="6" t="s">
        <v>17</v>
      </c>
      <c r="H4628" s="6" t="s">
        <v>32</v>
      </c>
      <c r="I4628" s="6" t="s">
        <v>2666</v>
      </c>
      <c r="J4628" s="6" t="s">
        <v>2667</v>
      </c>
      <c r="K4628" s="6" t="s">
        <v>1730</v>
      </c>
      <c r="L4628" s="6"/>
      <c r="M4628" s="6" t="s">
        <v>1731</v>
      </c>
      <c r="N4628" s="6" t="s">
        <v>4898</v>
      </c>
      <c r="O4628" s="6" t="s">
        <v>22</v>
      </c>
    </row>
    <row r="4629" spans="1:15" hidden="1">
      <c r="A4629" s="6" t="s">
        <v>15</v>
      </c>
      <c r="B4629" s="6" t="str">
        <f>"FES1162693274"</f>
        <v>FES1162693274</v>
      </c>
      <c r="C4629" s="7">
        <v>43619</v>
      </c>
      <c r="D4629" s="6">
        <v>1</v>
      </c>
      <c r="E4629" s="6">
        <v>2170691492</v>
      </c>
      <c r="F4629" s="6" t="s">
        <v>16</v>
      </c>
      <c r="G4629" s="6" t="s">
        <v>17</v>
      </c>
      <c r="H4629" s="6" t="s">
        <v>32</v>
      </c>
      <c r="I4629" s="6" t="s">
        <v>4606</v>
      </c>
      <c r="J4629" s="6" t="s">
        <v>4607</v>
      </c>
      <c r="K4629" s="6" t="s">
        <v>1730</v>
      </c>
      <c r="L4629" s="6"/>
      <c r="M4629" s="6" t="s">
        <v>1731</v>
      </c>
      <c r="N4629" s="6" t="s">
        <v>4898</v>
      </c>
      <c r="O4629" s="6" t="s">
        <v>22</v>
      </c>
    </row>
    <row r="4630" spans="1:15" hidden="1">
      <c r="A4630" s="6" t="s">
        <v>15</v>
      </c>
      <c r="B4630" s="6" t="str">
        <f>"FES1162693249"</f>
        <v>FES1162693249</v>
      </c>
      <c r="C4630" s="7">
        <v>43619</v>
      </c>
      <c r="D4630" s="6">
        <v>1</v>
      </c>
      <c r="E4630" s="6">
        <v>2170690857</v>
      </c>
      <c r="F4630" s="6" t="s">
        <v>16</v>
      </c>
      <c r="G4630" s="6" t="s">
        <v>17</v>
      </c>
      <c r="H4630" s="6" t="s">
        <v>290</v>
      </c>
      <c r="I4630" s="6" t="s">
        <v>291</v>
      </c>
      <c r="J4630" s="6" t="s">
        <v>294</v>
      </c>
      <c r="K4630" s="6" t="s">
        <v>1730</v>
      </c>
      <c r="L4630" s="6"/>
      <c r="M4630" s="6" t="s">
        <v>1731</v>
      </c>
      <c r="N4630" s="6" t="s">
        <v>4898</v>
      </c>
      <c r="O4630" s="6" t="s">
        <v>22</v>
      </c>
    </row>
    <row r="4631" spans="1:15" hidden="1">
      <c r="A4631" s="6" t="s">
        <v>15</v>
      </c>
      <c r="B4631" s="6" t="str">
        <f>"FES1162693175"</f>
        <v>FES1162693175</v>
      </c>
      <c r="C4631" s="7">
        <v>43619</v>
      </c>
      <c r="D4631" s="6">
        <v>1</v>
      </c>
      <c r="E4631" s="6">
        <v>2170689368</v>
      </c>
      <c r="F4631" s="6" t="s">
        <v>16</v>
      </c>
      <c r="G4631" s="6" t="s">
        <v>17</v>
      </c>
      <c r="H4631" s="6" t="s">
        <v>290</v>
      </c>
      <c r="I4631" s="6" t="s">
        <v>309</v>
      </c>
      <c r="J4631" s="6" t="s">
        <v>1037</v>
      </c>
      <c r="K4631" s="6" t="s">
        <v>1730</v>
      </c>
      <c r="L4631" s="6"/>
      <c r="M4631" s="6" t="s">
        <v>1731</v>
      </c>
      <c r="N4631" s="6" t="s">
        <v>4898</v>
      </c>
      <c r="O4631" s="6" t="s">
        <v>22</v>
      </c>
    </row>
    <row r="4632" spans="1:15" hidden="1">
      <c r="A4632" s="6" t="s">
        <v>15</v>
      </c>
      <c r="B4632" s="6" t="str">
        <f>"FES1162693283"</f>
        <v>FES1162693283</v>
      </c>
      <c r="C4632" s="7">
        <v>43619</v>
      </c>
      <c r="D4632" s="6">
        <v>1</v>
      </c>
      <c r="E4632" s="6">
        <v>217069507</v>
      </c>
      <c r="F4632" s="6" t="s">
        <v>16</v>
      </c>
      <c r="G4632" s="6" t="s">
        <v>17</v>
      </c>
      <c r="H4632" s="6" t="s">
        <v>132</v>
      </c>
      <c r="I4632" s="6" t="s">
        <v>133</v>
      </c>
      <c r="J4632" s="6" t="s">
        <v>639</v>
      </c>
      <c r="K4632" s="6" t="s">
        <v>1730</v>
      </c>
      <c r="L4632" s="6"/>
      <c r="M4632" s="6" t="s">
        <v>1731</v>
      </c>
      <c r="N4632" s="6" t="s">
        <v>4898</v>
      </c>
      <c r="O4632" s="6" t="s">
        <v>22</v>
      </c>
    </row>
    <row r="4633" spans="1:15" hidden="1">
      <c r="A4633" s="6" t="s">
        <v>15</v>
      </c>
      <c r="B4633" s="6" t="str">
        <f>"FES1162693257"</f>
        <v>FES1162693257</v>
      </c>
      <c r="C4633" s="7">
        <v>43619</v>
      </c>
      <c r="D4633" s="6">
        <v>1</v>
      </c>
      <c r="E4633" s="6">
        <v>217069689</v>
      </c>
      <c r="F4633" s="6" t="s">
        <v>16</v>
      </c>
      <c r="G4633" s="6" t="s">
        <v>17</v>
      </c>
      <c r="H4633" s="6" t="s">
        <v>32</v>
      </c>
      <c r="I4633" s="6" t="s">
        <v>33</v>
      </c>
      <c r="J4633" s="6" t="s">
        <v>790</v>
      </c>
      <c r="K4633" s="6" t="s">
        <v>1730</v>
      </c>
      <c r="L4633" s="6"/>
      <c r="M4633" s="6" t="s">
        <v>1731</v>
      </c>
      <c r="N4633" s="6" t="s">
        <v>4898</v>
      </c>
      <c r="O4633" s="6" t="s">
        <v>22</v>
      </c>
    </row>
    <row r="4634" spans="1:15" hidden="1">
      <c r="A4634" s="6" t="s">
        <v>15</v>
      </c>
      <c r="B4634" s="6" t="str">
        <f>"FES1162693294"</f>
        <v>FES1162693294</v>
      </c>
      <c r="C4634" s="7">
        <v>43619</v>
      </c>
      <c r="D4634" s="6">
        <v>1</v>
      </c>
      <c r="E4634" s="6">
        <v>2170691517</v>
      </c>
      <c r="F4634" s="6" t="s">
        <v>16</v>
      </c>
      <c r="G4634" s="6" t="s">
        <v>17</v>
      </c>
      <c r="H4634" s="6" t="s">
        <v>43</v>
      </c>
      <c r="I4634" s="6" t="s">
        <v>44</v>
      </c>
      <c r="J4634" s="6" t="s">
        <v>742</v>
      </c>
      <c r="K4634" s="6" t="s">
        <v>1730</v>
      </c>
      <c r="L4634" s="6"/>
      <c r="M4634" s="6" t="s">
        <v>1731</v>
      </c>
      <c r="N4634" s="6" t="s">
        <v>4898</v>
      </c>
      <c r="O4634" s="6" t="s">
        <v>22</v>
      </c>
    </row>
    <row r="4635" spans="1:15" hidden="1">
      <c r="A4635" s="6" t="s">
        <v>15</v>
      </c>
      <c r="B4635" s="6" t="str">
        <f>"FES1162693288"</f>
        <v>FES1162693288</v>
      </c>
      <c r="C4635" s="7">
        <v>43619</v>
      </c>
      <c r="D4635" s="6">
        <v>1</v>
      </c>
      <c r="E4635" s="6">
        <v>2170691513</v>
      </c>
      <c r="F4635" s="6" t="s">
        <v>16</v>
      </c>
      <c r="G4635" s="6" t="s">
        <v>17</v>
      </c>
      <c r="H4635" s="6" t="s">
        <v>141</v>
      </c>
      <c r="I4635" s="6" t="s">
        <v>142</v>
      </c>
      <c r="J4635" s="6" t="s">
        <v>201</v>
      </c>
      <c r="K4635" s="6" t="s">
        <v>1730</v>
      </c>
      <c r="L4635" s="6"/>
      <c r="M4635" s="6" t="s">
        <v>1731</v>
      </c>
      <c r="N4635" s="6" t="s">
        <v>4898</v>
      </c>
      <c r="O4635" s="6" t="s">
        <v>22</v>
      </c>
    </row>
    <row r="4636" spans="1:15">
      <c r="A4636" s="6" t="s">
        <v>15</v>
      </c>
      <c r="B4636" s="6" t="str">
        <f>"FES1162693013"</f>
        <v>FES1162693013</v>
      </c>
      <c r="C4636" s="7">
        <v>43619</v>
      </c>
      <c r="D4636" s="6">
        <v>1</v>
      </c>
      <c r="E4636" s="6">
        <v>217069155</v>
      </c>
      <c r="F4636" s="6" t="s">
        <v>16</v>
      </c>
      <c r="G4636" s="6" t="s">
        <v>17</v>
      </c>
      <c r="H4636" s="6" t="s">
        <v>17</v>
      </c>
      <c r="I4636" s="6" t="s">
        <v>84</v>
      </c>
      <c r="J4636" s="6" t="s">
        <v>1459</v>
      </c>
      <c r="K4636" s="6" t="s">
        <v>1730</v>
      </c>
      <c r="L4636" s="6"/>
      <c r="M4636" s="6" t="s">
        <v>1731</v>
      </c>
      <c r="N4636" s="6" t="s">
        <v>4898</v>
      </c>
      <c r="O4636" s="6" t="s">
        <v>22</v>
      </c>
    </row>
    <row r="4637" spans="1:15" hidden="1">
      <c r="A4637" s="6" t="s">
        <v>15</v>
      </c>
      <c r="B4637" s="6" t="str">
        <f>"FES1162693213"</f>
        <v>FES1162693213</v>
      </c>
      <c r="C4637" s="7">
        <v>43619</v>
      </c>
      <c r="D4637" s="6">
        <v>1</v>
      </c>
      <c r="E4637" s="6">
        <v>2170691094</v>
      </c>
      <c r="F4637" s="6" t="s">
        <v>16</v>
      </c>
      <c r="G4637" s="6" t="s">
        <v>17</v>
      </c>
      <c r="H4637" s="6" t="s">
        <v>290</v>
      </c>
      <c r="I4637" s="6" t="s">
        <v>291</v>
      </c>
      <c r="J4637" s="6" t="s">
        <v>966</v>
      </c>
      <c r="K4637" s="6" t="s">
        <v>1730</v>
      </c>
      <c r="L4637" s="6"/>
      <c r="M4637" s="6" t="s">
        <v>1731</v>
      </c>
      <c r="N4637" s="6" t="s">
        <v>4898</v>
      </c>
      <c r="O4637" s="6" t="s">
        <v>22</v>
      </c>
    </row>
    <row r="4638" spans="1:15">
      <c r="A4638" s="6" t="s">
        <v>15</v>
      </c>
      <c r="B4638" s="6" t="str">
        <f>"FES1162693295"</f>
        <v>FES1162693295</v>
      </c>
      <c r="C4638" s="7">
        <v>43619</v>
      </c>
      <c r="D4638" s="6">
        <v>1</v>
      </c>
      <c r="E4638" s="6">
        <v>2170691518</v>
      </c>
      <c r="F4638" s="6" t="s">
        <v>16</v>
      </c>
      <c r="G4638" s="6" t="s">
        <v>17</v>
      </c>
      <c r="H4638" s="6" t="s">
        <v>17</v>
      </c>
      <c r="I4638" s="6" t="s">
        <v>18</v>
      </c>
      <c r="J4638" s="6" t="s">
        <v>19</v>
      </c>
      <c r="K4638" s="6" t="s">
        <v>1730</v>
      </c>
      <c r="L4638" s="6"/>
      <c r="M4638" s="6" t="s">
        <v>1731</v>
      </c>
      <c r="N4638" s="6" t="s">
        <v>4898</v>
      </c>
      <c r="O4638" s="6" t="s">
        <v>22</v>
      </c>
    </row>
    <row r="4639" spans="1:15">
      <c r="A4639" s="6" t="s">
        <v>15</v>
      </c>
      <c r="B4639" s="6" t="str">
        <f>"FES1162693259"</f>
        <v>FES1162693259</v>
      </c>
      <c r="C4639" s="7">
        <v>43619</v>
      </c>
      <c r="D4639" s="6">
        <v>1</v>
      </c>
      <c r="E4639" s="6">
        <v>2170691474</v>
      </c>
      <c r="F4639" s="6" t="s">
        <v>16</v>
      </c>
      <c r="G4639" s="6" t="s">
        <v>17</v>
      </c>
      <c r="H4639" s="6" t="s">
        <v>17</v>
      </c>
      <c r="I4639" s="6" t="s">
        <v>421</v>
      </c>
      <c r="J4639" s="6" t="s">
        <v>138</v>
      </c>
      <c r="K4639" s="6" t="s">
        <v>1730</v>
      </c>
      <c r="L4639" s="6"/>
      <c r="M4639" s="6" t="s">
        <v>1731</v>
      </c>
      <c r="N4639" s="6" t="s">
        <v>4898</v>
      </c>
      <c r="O4639" s="6" t="s">
        <v>22</v>
      </c>
    </row>
    <row r="4640" spans="1:15">
      <c r="A4640" s="6" t="s">
        <v>15</v>
      </c>
      <c r="B4640" s="6" t="str">
        <f>"029908236304"</f>
        <v>029908236304</v>
      </c>
      <c r="C4640" s="7">
        <v>43619</v>
      </c>
      <c r="D4640" s="6">
        <v>1</v>
      </c>
      <c r="E4640" s="6" t="s">
        <v>22</v>
      </c>
      <c r="F4640" s="6" t="s">
        <v>16</v>
      </c>
      <c r="G4640" s="6" t="s">
        <v>141</v>
      </c>
      <c r="H4640" s="6" t="s">
        <v>17</v>
      </c>
      <c r="I4640" s="6" t="s">
        <v>18</v>
      </c>
      <c r="J4640" s="6" t="s">
        <v>1061</v>
      </c>
      <c r="K4640" s="6" t="s">
        <v>1730</v>
      </c>
      <c r="L4640" s="6"/>
      <c r="M4640" s="6" t="s">
        <v>1731</v>
      </c>
      <c r="N4640" s="6" t="s">
        <v>4898</v>
      </c>
      <c r="O4640" s="6" t="s">
        <v>22</v>
      </c>
    </row>
    <row r="4641" spans="1:15">
      <c r="A4641" s="6" t="s">
        <v>15</v>
      </c>
      <c r="B4641" s="6" t="str">
        <f>"080002320000"</f>
        <v>080002320000</v>
      </c>
      <c r="C4641" s="7">
        <v>43620</v>
      </c>
      <c r="D4641" s="6">
        <v>1</v>
      </c>
      <c r="E4641" s="6" t="s">
        <v>22</v>
      </c>
      <c r="F4641" s="6" t="s">
        <v>16</v>
      </c>
      <c r="G4641" s="6" t="s">
        <v>132</v>
      </c>
      <c r="H4641" s="6" t="s">
        <v>17</v>
      </c>
      <c r="I4641" s="6" t="s">
        <v>64</v>
      </c>
      <c r="J4641" s="6" t="s">
        <v>1061</v>
      </c>
      <c r="K4641" s="6" t="s">
        <v>1730</v>
      </c>
      <c r="L4641" s="6"/>
      <c r="M4641" s="6" t="s">
        <v>1731</v>
      </c>
      <c r="N4641" s="6" t="s">
        <v>4898</v>
      </c>
      <c r="O4641" s="6" t="s">
        <v>22</v>
      </c>
    </row>
  </sheetData>
  <autoFilter ref="A1:O4641">
    <filterColumn colId="7">
      <filters>
        <filter val="JNX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2019-06-04T07:48:30Z</dcterms:created>
  <dcterms:modified xsi:type="dcterms:W3CDTF">2019-06-04T07:49:02Z</dcterms:modified>
</cp:coreProperties>
</file>