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15" windowWidth="19635" windowHeight="744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15" i="1" l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<sst xmlns="http://schemas.openxmlformats.org/spreadsheetml/2006/main" count="4357" uniqueCount="503">
  <si>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</si>
  <si>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</si>
  <si>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</si>
  <si>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</si>
  <si>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</si>
  <si>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</si>
  <si>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</si>
  <si>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</si>
  <si>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</si>
  <si>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</si>
  <si>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</si>
  <si>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</si>
  <si>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</si>
  <si>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</si>
  <si>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</si>
  <si>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</si>
  <si>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</si>
  <si>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</si>
  <si>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</si>
  <si>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</si>
  <si>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</si>
  <si>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</si>
  <si>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</si>
  <si>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</si>
  <si>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</si>
  <si>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</si>
  <si>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</si>
  <si>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</si>
  <si>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</si>
  <si>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</si>
  <si>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</si>
  <si>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</si>
  <si>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</si>
  <si>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</si>
  <si>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</si>
  <si>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</si>
  <si>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</si>
  <si>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</si>
  <si>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</si>
  <si>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</si>
  <si>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</si>
  <si>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</si>
  <si>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</si>
  <si>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</si>
  <si>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</si>
  <si>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</si>
  <si>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</si>
  <si>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</si>
  <si>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</si>
  <si>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</si>
  <si>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</si>
  <si>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</si>
  <si>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</si>
  <si>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</si>
  <si>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</si>
  <si>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</si>
  <si>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</si>
  <si>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</si>
  <si>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</si>
  <si>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</si>
  <si>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</si>
  <si>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</si>
  <si>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</si>
  <si>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</si>
  <si>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</si>
  <si>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</si>
  <si>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</si>
  <si>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</si>
  <si>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</si>
  <si>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</si>
  <si>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</si>
  <si>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</si>
  <si>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</si>
  <si>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 xml:space="preserve">                                   </t>
  </si>
  <si>
    <t>JOHAN</t>
  </si>
  <si>
    <t>JOHANNESBURG</t>
  </si>
  <si>
    <t>ON1</t>
  </si>
  <si>
    <t>?</t>
  </si>
  <si>
    <t>Flyer</t>
  </si>
  <si>
    <t>no</t>
  </si>
  <si>
    <t>PARCEL</t>
  </si>
  <si>
    <t>FUE / DOC</t>
  </si>
  <si>
    <t>EAST</t>
  </si>
  <si>
    <t>EAST LONDON</t>
  </si>
  <si>
    <t>RANDB</t>
  </si>
  <si>
    <t>RANDBURG</t>
  </si>
  <si>
    <t>DURBA</t>
  </si>
  <si>
    <t>DURBAN</t>
  </si>
  <si>
    <t>PORT3</t>
  </si>
  <si>
    <t>PORT ELIZABETH</t>
  </si>
  <si>
    <t>yes</t>
  </si>
  <si>
    <t>ON2</t>
  </si>
  <si>
    <t>BOX</t>
  </si>
  <si>
    <t>CAPET</t>
  </si>
  <si>
    <t>CAPE TOWN</t>
  </si>
  <si>
    <t>HND / FUE / DOC</t>
  </si>
  <si>
    <t>MIDRA</t>
  </si>
  <si>
    <t>MIDRAND</t>
  </si>
  <si>
    <t>MIDD2</t>
  </si>
  <si>
    <t>MIDDELBURG (Mpumalanga)</t>
  </si>
  <si>
    <t>RD</t>
  </si>
  <si>
    <t>RDR</t>
  </si>
  <si>
    <t>rd1</t>
  </si>
  <si>
    <t>NA</t>
  </si>
  <si>
    <t>POD received from cell 0724302642 M</t>
  </si>
  <si>
    <t>Late Linehaul Delayed Beyond Skynet Control</t>
  </si>
  <si>
    <t>les</t>
  </si>
  <si>
    <t>Alfred</t>
  </si>
  <si>
    <t>RUSTE</t>
  </si>
  <si>
    <t>RUSTENBURG</t>
  </si>
  <si>
    <t>Late linehaul</t>
  </si>
  <si>
    <t>win</t>
  </si>
  <si>
    <t>POD received from cell 0848255037 M</t>
  </si>
  <si>
    <t>POD received from cell 0646195765 M</t>
  </si>
  <si>
    <t>Consignee not available)</t>
  </si>
  <si>
    <t>George</t>
  </si>
  <si>
    <t>Outlying delivery location</t>
  </si>
  <si>
    <t>uat</t>
  </si>
  <si>
    <t>bem</t>
  </si>
  <si>
    <t>GEORG</t>
  </si>
  <si>
    <t>GEORGE</t>
  </si>
  <si>
    <t>Driver late</t>
  </si>
  <si>
    <t>POD received from cell 0644881838 M</t>
  </si>
  <si>
    <t>tshepo</t>
  </si>
  <si>
    <t>LIHLE</t>
  </si>
  <si>
    <t>POD received from cell 0643505724 M</t>
  </si>
  <si>
    <t>moses</t>
  </si>
  <si>
    <t>jam</t>
  </si>
  <si>
    <t>POD received from cell 0769790129 M</t>
  </si>
  <si>
    <t>thabo</t>
  </si>
  <si>
    <t>MARK</t>
  </si>
  <si>
    <t>RDX</t>
  </si>
  <si>
    <t>POD received from cell 0712184974 M</t>
  </si>
  <si>
    <t>capet</t>
  </si>
  <si>
    <t>RD2</t>
  </si>
  <si>
    <t>RD3</t>
  </si>
  <si>
    <t>johan</t>
  </si>
  <si>
    <t>amt</t>
  </si>
  <si>
    <t>thapelo</t>
  </si>
  <si>
    <t>SYSTEM</t>
  </si>
  <si>
    <t>Moses</t>
  </si>
  <si>
    <t>linah</t>
  </si>
  <si>
    <t>Thapelo</t>
  </si>
  <si>
    <t>POD received from cell 0634077877 M</t>
  </si>
  <si>
    <t>FUE / doc</t>
  </si>
  <si>
    <t>AVW</t>
  </si>
  <si>
    <t>rd2</t>
  </si>
  <si>
    <t>POTCH</t>
  </si>
  <si>
    <t>POTCHEFSTROOM</t>
  </si>
  <si>
    <t>LEE</t>
  </si>
  <si>
    <t xml:space="preserve">POD received from cell 0643505724 M     </t>
  </si>
  <si>
    <t>SIGNATURE</t>
  </si>
  <si>
    <t>DEBRA</t>
  </si>
  <si>
    <t>POD received from cell 0797355771 M</t>
  </si>
  <si>
    <t>Appointment required</t>
  </si>
  <si>
    <t>john</t>
  </si>
  <si>
    <t>POD received from cell 0768687790 M</t>
  </si>
  <si>
    <t>peter</t>
  </si>
  <si>
    <t>POD received from cell 0729194064 M</t>
  </si>
  <si>
    <t>VERWO</t>
  </si>
  <si>
    <t>CENTURION</t>
  </si>
  <si>
    <t>POD received from cell 0715005014 M</t>
  </si>
  <si>
    <t>MUSA</t>
  </si>
  <si>
    <t>TZANE</t>
  </si>
  <si>
    <t>TZANEEN</t>
  </si>
  <si>
    <t>POD received from cell 0732125467 M</t>
  </si>
  <si>
    <t xml:space="preserve">POD received from cell 0769347056 M     </t>
  </si>
  <si>
    <t>naw</t>
  </si>
  <si>
    <t>RDD</t>
  </si>
  <si>
    <t>STORES</t>
  </si>
  <si>
    <t>musa</t>
  </si>
  <si>
    <t>PIET2</t>
  </si>
  <si>
    <t>PIETERSBURG</t>
  </si>
  <si>
    <t>JULIUS</t>
  </si>
  <si>
    <t>POD received from cell 0834988264 M</t>
  </si>
  <si>
    <t>JOHN</t>
  </si>
  <si>
    <t>Hold for Collection</t>
  </si>
  <si>
    <t>UPING</t>
  </si>
  <si>
    <t>UPINGTON</t>
  </si>
  <si>
    <t>RICHARD</t>
  </si>
  <si>
    <t>CHANTEL</t>
  </si>
  <si>
    <t>POD received from cell 0769347056 M</t>
  </si>
  <si>
    <t>SANDT</t>
  </si>
  <si>
    <t>SANDTON</t>
  </si>
  <si>
    <t>rdd</t>
  </si>
  <si>
    <t>RICHA</t>
  </si>
  <si>
    <t>RICHARDS BAY</t>
  </si>
  <si>
    <t>RD1</t>
  </si>
  <si>
    <t>POD received from cell 0612144772 M</t>
  </si>
  <si>
    <t>NEWCA</t>
  </si>
  <si>
    <t>NEWCASTLE</t>
  </si>
  <si>
    <t>alb</t>
  </si>
  <si>
    <t>WELKO</t>
  </si>
  <si>
    <t>WELKOM</t>
  </si>
  <si>
    <t>MMABA</t>
  </si>
  <si>
    <t>MMABATHO</t>
  </si>
  <si>
    <t>rd3</t>
  </si>
  <si>
    <t>NELSP</t>
  </si>
  <si>
    <t>NELSPRUIT</t>
  </si>
  <si>
    <t>BLOE1</t>
  </si>
  <si>
    <t>BLOEMFONTEIN</t>
  </si>
  <si>
    <t>PORT4</t>
  </si>
  <si>
    <t>PORT SHEPSTONE</t>
  </si>
  <si>
    <t>KIMBE</t>
  </si>
  <si>
    <t>KIMBERLEY</t>
  </si>
  <si>
    <t>THA</t>
  </si>
  <si>
    <t>POD received from cell 0797074161 M</t>
  </si>
  <si>
    <t>KYLE</t>
  </si>
  <si>
    <t>POD received from cell 0794895877 M</t>
  </si>
  <si>
    <t>asm</t>
  </si>
  <si>
    <t>Portia</t>
  </si>
  <si>
    <t>J17989</t>
  </si>
  <si>
    <t xml:space="preserve">MOVE ANALYTICS CC - ATM ACCOUNTS   </t>
  </si>
  <si>
    <t xml:space="preserve">ATM SOLUTIONS                      </t>
  </si>
  <si>
    <t>ALIAS</t>
  </si>
  <si>
    <t>MORATUWA CELLULAR</t>
  </si>
  <si>
    <t>kholofelo</t>
  </si>
  <si>
    <t>RDY</t>
  </si>
  <si>
    <t xml:space="preserve">ATM SOLUTION                       </t>
  </si>
  <si>
    <t xml:space="preserve">atm solution                       </t>
  </si>
  <si>
    <t>stores</t>
  </si>
  <si>
    <t>TSHEPO MOYA</t>
  </si>
  <si>
    <t>geogers</t>
  </si>
  <si>
    <t>rdD</t>
  </si>
  <si>
    <t>REGINALD</t>
  </si>
  <si>
    <t>POD received from cell 0813693772 M</t>
  </si>
  <si>
    <t>POD received from cell 0764958693 M</t>
  </si>
  <si>
    <t>sibangani</t>
  </si>
  <si>
    <t>POD received from cell 0827600532 M</t>
  </si>
  <si>
    <t>MARBL</t>
  </si>
  <si>
    <t>MARBLE HALL</t>
  </si>
  <si>
    <t xml:space="preserve">ATM SOLUTIONS WITBANK              </t>
  </si>
  <si>
    <t>LINCO</t>
  </si>
  <si>
    <t>PIETER LINCO</t>
  </si>
  <si>
    <t>Deliwe</t>
  </si>
  <si>
    <t>DEBRA   EMILE</t>
  </si>
  <si>
    <t>GEORGEY</t>
  </si>
  <si>
    <t>POD received from cell 0612827599 M</t>
  </si>
  <si>
    <t xml:space="preserve">ATM SOLUTIONS - PE                 </t>
  </si>
  <si>
    <t>JASON</t>
  </si>
  <si>
    <t>EUGENE</t>
  </si>
  <si>
    <t>HOLD</t>
  </si>
  <si>
    <t>WALTER</t>
  </si>
  <si>
    <t>PETER</t>
  </si>
  <si>
    <t>Walter</t>
  </si>
  <si>
    <t xml:space="preserve">ATM SOLUTIONS MIDDELBURGH          </t>
  </si>
  <si>
    <t>BOITUMELO</t>
  </si>
  <si>
    <t>NATASHA OLDS</t>
  </si>
  <si>
    <t>anns</t>
  </si>
  <si>
    <t xml:space="preserve">ATM SOL                            </t>
  </si>
  <si>
    <t>P.LIEBERBERG</t>
  </si>
  <si>
    <t>MARATUWA</t>
  </si>
  <si>
    <t>DOC / HND / FUE</t>
  </si>
  <si>
    <t xml:space="preserve">AYM SOLUTIONS                      </t>
  </si>
  <si>
    <t xml:space="preserve">ATM SOOUTIONS                      </t>
  </si>
  <si>
    <t xml:space="preserve">ATM SOLUTIOND                      </t>
  </si>
  <si>
    <t xml:space="preserve">ATM                                </t>
  </si>
  <si>
    <t xml:space="preserve">ATM OLUTIONS                       </t>
  </si>
  <si>
    <t xml:space="preserve">ATM SO0LUTIONS                     </t>
  </si>
  <si>
    <t>N</t>
  </si>
  <si>
    <t xml:space="preserve">ATM SOUTIONS                       </t>
  </si>
  <si>
    <t>CHAROZA</t>
  </si>
  <si>
    <t>COERT JOHAN</t>
  </si>
  <si>
    <t>MAHMOOD</t>
  </si>
  <si>
    <t>JEROME</t>
  </si>
  <si>
    <t>THABO</t>
  </si>
  <si>
    <t>POD received from cell 0847649236 M</t>
  </si>
  <si>
    <t xml:space="preserve">C O SKYNET KIMBERLEY               </t>
  </si>
  <si>
    <t>PIET</t>
  </si>
  <si>
    <t>QUEEN</t>
  </si>
  <si>
    <t>QUEENSTOWN</t>
  </si>
  <si>
    <t xml:space="preserve">atm solutions                      </t>
  </si>
  <si>
    <t>norman rala-rala</t>
  </si>
  <si>
    <t>POYO</t>
  </si>
  <si>
    <t xml:space="preserve">SKYNET MAFIKENG                    </t>
  </si>
  <si>
    <t xml:space="preserve">ATM SOLUIONS                       </t>
  </si>
  <si>
    <t xml:space="preserve">A.T.M SOLUTIONS                    </t>
  </si>
  <si>
    <t>Lauren</t>
  </si>
  <si>
    <t>RETURN PARTS BOX</t>
  </si>
  <si>
    <t>ATM RETURN DEPT</t>
  </si>
  <si>
    <t>3XATMS MACHINES-PALLETS</t>
  </si>
  <si>
    <t>BURG1</t>
  </si>
  <si>
    <t>BURGERSFORT</t>
  </si>
  <si>
    <t xml:space="preserve">AM SOLUTIONS                       </t>
  </si>
  <si>
    <t>CEDRICK</t>
  </si>
  <si>
    <t>POD received from cell 0762402177 M</t>
  </si>
  <si>
    <t>GEORGES</t>
  </si>
  <si>
    <t>VRYBU</t>
  </si>
  <si>
    <t>VRYBURG</t>
  </si>
  <si>
    <t>JERRY</t>
  </si>
  <si>
    <t>jerry</t>
  </si>
  <si>
    <t>POD received from cell 0787450977 M</t>
  </si>
  <si>
    <t>mahmood</t>
  </si>
  <si>
    <t>POD received from cell 0680123070 M</t>
  </si>
  <si>
    <t xml:space="preserve">lauren                        </t>
  </si>
  <si>
    <t xml:space="preserve">POD received from cell 0646195765 M     </t>
  </si>
  <si>
    <t>WALETR</t>
  </si>
  <si>
    <t>STEPHEN</t>
  </si>
  <si>
    <t xml:space="preserve">ATM SOLUTIONS POLOKWANE            </t>
  </si>
  <si>
    <t>BOITUMELO MELK</t>
  </si>
  <si>
    <t>JACQUES BLAKE</t>
  </si>
  <si>
    <t>Anns</t>
  </si>
  <si>
    <t xml:space="preserve">ATM SOLUTIONS DURBAN               </t>
  </si>
  <si>
    <t xml:space="preserve">UNILOCK MANUFACTURING              </t>
  </si>
  <si>
    <t>CHANTE</t>
  </si>
  <si>
    <t>RAJESH</t>
  </si>
  <si>
    <t>josh</t>
  </si>
  <si>
    <t xml:space="preserve">ALLCASH TECHNOLOGIES               </t>
  </si>
  <si>
    <t>ELLEN M</t>
  </si>
  <si>
    <t>Ellen</t>
  </si>
  <si>
    <t>georges</t>
  </si>
  <si>
    <t>MORATUWA PHOTOLO</t>
  </si>
  <si>
    <t>POD received from cell 0836713403 M</t>
  </si>
  <si>
    <t xml:space="preserve">CONECT NET                         </t>
  </si>
  <si>
    <t>Aviwe</t>
  </si>
  <si>
    <t xml:space="preserve">ATM DOLUTIOS                       </t>
  </si>
  <si>
    <t>CALVIN</t>
  </si>
  <si>
    <t>calvin</t>
  </si>
  <si>
    <t xml:space="preserve">nthabiseng                    </t>
  </si>
  <si>
    <t xml:space="preserve">POD received from cell 0794895877 M     </t>
  </si>
  <si>
    <t xml:space="preserve">ATM OLUTOINS                       </t>
  </si>
  <si>
    <t>JNA</t>
  </si>
  <si>
    <t>STEPHAN</t>
  </si>
  <si>
    <t>Stephan</t>
  </si>
  <si>
    <t>POD received from cell 0836925391 M</t>
  </si>
  <si>
    <t xml:space="preserve">ATM SOLUTIONS BLOEMFONTEIN         </t>
  </si>
  <si>
    <t>JOROME</t>
  </si>
  <si>
    <t>CLASSENS</t>
  </si>
  <si>
    <t>KERSHEN</t>
  </si>
  <si>
    <t>shivasti</t>
  </si>
  <si>
    <t>LOUIS</t>
  </si>
  <si>
    <t>LOUIS TRICHARDT</t>
  </si>
  <si>
    <t xml:space="preserve">ATM SOLUTIONS LOUIS TRICHARDT      </t>
  </si>
  <si>
    <t>RENDZELANI MALUE</t>
  </si>
  <si>
    <t>MORATUWA CELLUR</t>
  </si>
  <si>
    <t>boloyi</t>
  </si>
  <si>
    <t>POD received from cell 0839546952 M</t>
  </si>
  <si>
    <t>STEPHINA SHAI</t>
  </si>
  <si>
    <t xml:space="preserve">C O SKYNET                         </t>
  </si>
  <si>
    <t>JASON PETER</t>
  </si>
  <si>
    <t>ESHEN</t>
  </si>
  <si>
    <t>POD received from cell 0766170219 M</t>
  </si>
  <si>
    <t>EDDIE</t>
  </si>
  <si>
    <t>TONI</t>
  </si>
  <si>
    <t xml:space="preserve">SKYNET                             </t>
  </si>
  <si>
    <t>RCHARRD</t>
  </si>
  <si>
    <t>DOC / FUE / INS</t>
  </si>
  <si>
    <t xml:space="preserve">ATM SOLUTION PORT ELIZABETH        </t>
  </si>
  <si>
    <t>MALCON</t>
  </si>
  <si>
    <t>lauren</t>
  </si>
  <si>
    <t>KLERK</t>
  </si>
  <si>
    <t>KLERKSDORP</t>
  </si>
  <si>
    <t xml:space="preserve">all cah tech                       </t>
  </si>
  <si>
    <t>PIET MATSUALAQORO</t>
  </si>
  <si>
    <t xml:space="preserve">ATM SOLUTIONS RUSTENBURG           </t>
  </si>
  <si>
    <t>NICO</t>
  </si>
  <si>
    <t>THABO TSHABALAL</t>
  </si>
  <si>
    <t>MBOGENI</t>
  </si>
  <si>
    <t>THABO TSHABALALA</t>
  </si>
  <si>
    <t>CHANTELL-0834453287</t>
  </si>
  <si>
    <t>MAHOMOOD</t>
  </si>
  <si>
    <t>henry</t>
  </si>
  <si>
    <t xml:space="preserve">SKYNET NEWCASTLE                   </t>
  </si>
  <si>
    <t>DBC</t>
  </si>
  <si>
    <t>LINDO</t>
  </si>
  <si>
    <t>col</t>
  </si>
  <si>
    <t xml:space="preserve">UNILOCK MANUFACTURING CC           </t>
  </si>
  <si>
    <t xml:space="preserve">ATM SOLUTIONS CAPE TOWN            </t>
  </si>
  <si>
    <t>Gulivan Naude</t>
  </si>
  <si>
    <t>CHANTELL OLWAGE / PIOTR</t>
  </si>
  <si>
    <t>RAJESH MOHABIR/YASHEN POORAI</t>
  </si>
  <si>
    <t>STHEMBISO(IT)</t>
  </si>
  <si>
    <t>JONATHAN</t>
  </si>
  <si>
    <t>NICODEMUS SETHE</t>
  </si>
  <si>
    <t>JOHN MULLER</t>
  </si>
  <si>
    <t>THEMBELI</t>
  </si>
  <si>
    <t>POD received from cell 0672852519 M</t>
  </si>
  <si>
    <t>MBONGENI</t>
  </si>
  <si>
    <t>GEORGS</t>
  </si>
  <si>
    <t>KASHEN</t>
  </si>
  <si>
    <t>MORATIWA CELULAR</t>
  </si>
  <si>
    <t>COERT</t>
  </si>
  <si>
    <t>rajchs</t>
  </si>
  <si>
    <t xml:space="preserve">gulivan                       </t>
  </si>
  <si>
    <t>KEPSHEN</t>
  </si>
  <si>
    <t>NAHMOOD</t>
  </si>
  <si>
    <t>linco</t>
  </si>
  <si>
    <t>eric</t>
  </si>
  <si>
    <t xml:space="preserve">FERDILITY CASH SERVICES            </t>
  </si>
  <si>
    <t>RICHARD  PIET</t>
  </si>
  <si>
    <t>Lauran</t>
  </si>
  <si>
    <t>MS LIHLE SIKADENI</t>
  </si>
  <si>
    <t>NORMAN RALARALA</t>
  </si>
  <si>
    <t>deliwe</t>
  </si>
  <si>
    <t>ZWELAKHE</t>
  </si>
  <si>
    <t>Ernest</t>
  </si>
  <si>
    <t>rajesh</t>
  </si>
  <si>
    <t>claassens</t>
  </si>
  <si>
    <t>rajsh</t>
  </si>
  <si>
    <t>JAN MAVUGO</t>
  </si>
  <si>
    <t>MARATUWA CELLULAR</t>
  </si>
  <si>
    <t>portia</t>
  </si>
  <si>
    <t>JOHATHAN</t>
  </si>
  <si>
    <t>WHITNEY (LOCKS)</t>
  </si>
  <si>
    <t>STEPHINA</t>
  </si>
  <si>
    <t>SUREN</t>
  </si>
  <si>
    <t>Ann</t>
  </si>
  <si>
    <t xml:space="preserve">UNLOCK MANUFACTURING               </t>
  </si>
  <si>
    <t xml:space="preserve">henry                         </t>
  </si>
  <si>
    <t>HENDRIK DU TOIT</t>
  </si>
  <si>
    <t>THABO TSHOBALALA</t>
  </si>
  <si>
    <t>JC Grobler</t>
  </si>
  <si>
    <t>GRALD</t>
  </si>
  <si>
    <t xml:space="preserve">ATMK SOLUTIONS                     </t>
  </si>
  <si>
    <t>VANESSA DE KOGKO</t>
  </si>
  <si>
    <t>BUINOTTE</t>
  </si>
  <si>
    <t>VANESSA</t>
  </si>
  <si>
    <t>ken</t>
  </si>
  <si>
    <t xml:space="preserve">C O 1068 BUHLEBEZWE DRIVE          </t>
  </si>
  <si>
    <t>NORMAN RALA-RALA</t>
  </si>
  <si>
    <t>sakhe</t>
  </si>
  <si>
    <t xml:space="preserve">ATM SOLUTIONS MAKHADO              </t>
  </si>
  <si>
    <t>MUSAI</t>
  </si>
  <si>
    <t>RINDZELANI</t>
  </si>
  <si>
    <t xml:space="preserve">MAFIKENG SKYNET                    </t>
  </si>
  <si>
    <t>MAHMODO</t>
  </si>
  <si>
    <t>mania</t>
  </si>
  <si>
    <t xml:space="preserve">atm solutoins                      </t>
  </si>
  <si>
    <t xml:space="preserve">unilock manufacturing cc           </t>
  </si>
  <si>
    <t>chantell</t>
  </si>
  <si>
    <t>coert</t>
  </si>
  <si>
    <t>nelsp</t>
  </si>
  <si>
    <t>JIHN MALTER</t>
  </si>
  <si>
    <t>1 box short delivered</t>
  </si>
  <si>
    <t>REGINALD LEGODI</t>
  </si>
  <si>
    <t>REGINAALD</t>
  </si>
  <si>
    <t xml:space="preserve">SUNLYN                             </t>
  </si>
  <si>
    <t>ASHENDRIE</t>
  </si>
  <si>
    <t>Lindani</t>
  </si>
  <si>
    <t>POD received from cell 0714139905 M</t>
  </si>
  <si>
    <t xml:space="preserve">ATM SOLUTIONS HEAD OFFICE          </t>
  </si>
  <si>
    <t>PRUDENCE BASSON</t>
  </si>
  <si>
    <t>ROBERT</t>
  </si>
  <si>
    <t>QC MOSES</t>
  </si>
  <si>
    <t>POD received from cell 0762317241 M</t>
  </si>
  <si>
    <t xml:space="preserve">Anns                          </t>
  </si>
  <si>
    <t xml:space="preserve">POD received from cell 0712184974 M     </t>
  </si>
  <si>
    <t>MORATUWA</t>
  </si>
  <si>
    <t>Mahmood</t>
  </si>
  <si>
    <t>nthabiseng</t>
  </si>
  <si>
    <t xml:space="preserve">ATM SOLUTIONS PE                   </t>
  </si>
  <si>
    <t>MALCOM</t>
  </si>
  <si>
    <t xml:space="preserve">ATM SOLTUINS                       </t>
  </si>
  <si>
    <t>pontia</t>
  </si>
  <si>
    <t>anastasia</t>
  </si>
  <si>
    <t>hendrick</t>
  </si>
  <si>
    <t>JOHANN MARX</t>
  </si>
  <si>
    <t>GERALD</t>
  </si>
  <si>
    <t>delliwe</t>
  </si>
  <si>
    <t>Siyabonga</t>
  </si>
  <si>
    <t xml:space="preserve">ATM SOLUTINS                       </t>
  </si>
  <si>
    <t>SIBONGISEN</t>
  </si>
  <si>
    <t xml:space="preserve">AM SOUTIONS                        </t>
  </si>
  <si>
    <t xml:space="preserve">ATM SOLUTION RUSTENBURG            </t>
  </si>
  <si>
    <t>Nicodemus</t>
  </si>
  <si>
    <t xml:space="preserve">ATM SOL TZANEEN                    </t>
  </si>
  <si>
    <t>zelda</t>
  </si>
  <si>
    <t xml:space="preserve">FIDELITY CASH SERVICES             </t>
  </si>
  <si>
    <t xml:space="preserve">FEDELITY CASH SERVICE              </t>
  </si>
  <si>
    <t>ATMSOLUTION</t>
  </si>
  <si>
    <t>george</t>
  </si>
  <si>
    <t>015 297 8544</t>
  </si>
  <si>
    <t>083 600 0045</t>
  </si>
  <si>
    <t xml:space="preserve">FEDELITY CASH SERVICES             </t>
  </si>
  <si>
    <t>ellig</t>
  </si>
  <si>
    <t>RAJESH MOHABIR</t>
  </si>
  <si>
    <t xml:space="preserve">Flyer </t>
  </si>
  <si>
    <t xml:space="preserve">ATM SOLUTIONS PORT ELIZABETH       </t>
  </si>
  <si>
    <t>aln</t>
  </si>
  <si>
    <t xml:space="preserve">ATM SOLUTIONS PORTSHEPSTONE        </t>
  </si>
  <si>
    <t>KISHAL HARI</t>
  </si>
  <si>
    <t>s hari</t>
  </si>
  <si>
    <t xml:space="preserve">Ann/Noma/Quinton </t>
  </si>
  <si>
    <t>NOMA</t>
  </si>
  <si>
    <t>THAPELO</t>
  </si>
  <si>
    <t>POD received from cell 0794118715 M</t>
  </si>
  <si>
    <t xml:space="preserve">MUSA REGINALD                      </t>
  </si>
  <si>
    <t>PIET MASHALA</t>
  </si>
  <si>
    <t xml:space="preserve"> ORATUWA PHOTOLO</t>
  </si>
  <si>
    <t xml:space="preserve">ATM SOLUTIONS  BLOEMFONTEIN        </t>
  </si>
  <si>
    <t>DEBRA  EMILE</t>
  </si>
  <si>
    <t>liandra</t>
  </si>
  <si>
    <t>mvh</t>
  </si>
  <si>
    <t>MAHAMOOD</t>
  </si>
  <si>
    <t xml:space="preserve">ATM SOLUTIONS  P E                 </t>
  </si>
  <si>
    <t>JOHANATHAN</t>
  </si>
  <si>
    <t>linko</t>
  </si>
  <si>
    <t xml:space="preserve">ATM SOLUTIONS  RUSTENBURG          </t>
  </si>
  <si>
    <t>BORMAN</t>
  </si>
  <si>
    <t xml:space="preserve">ATM SOLUTION JOHANNESBURG          </t>
  </si>
  <si>
    <t>JOHAN MARX</t>
  </si>
  <si>
    <t>MORATUMA</t>
  </si>
  <si>
    <t>karuna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</si>
</sst>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32"/>
  <sheetViews>
    <sheetView tabSelected="1" topLeftCell="A145" workbookViewId="0">
      <selection activeCell="A145" sqref="A1:XFD1048576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3.140625" bestFit="1" customWidth="1"/>
    <col min="6" max="6" width="10.7109375" bestFit="1" customWidth="1"/>
    <col min="7" max="7" width="7" bestFit="1" customWidth="1"/>
    <col min="8" max="8" width="8.140625" bestFit="1" customWidth="1"/>
    <col min="9" max="9" width="26.42578125" bestFit="1" customWidth="1"/>
    <col min="10" max="10" width="33.855468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5.140625" bestFit="1" customWidth="1"/>
    <col min="15" max="15" width="4.85546875" bestFit="1" customWidth="1"/>
    <col min="16" max="16" width="24.57031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7" bestFit="1" customWidth="1"/>
    <col min="38" max="42" width="4.5703125" bestFit="1" customWidth="1"/>
    <col min="43" max="43" width="5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18.42578125" bestFit="1" customWidth="1"/>
    <col min="69" max="69" width="32.42578125" bestFit="1" customWidth="1"/>
    <col min="70" max="70" width="25.5703125" bestFit="1" customWidth="1"/>
    <col min="71" max="71" width="10.7109375" bestFit="1" customWidth="1"/>
    <col min="72" max="72" width="9.7109375" bestFit="1" customWidth="1"/>
    <col min="73" max="73" width="19.71093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5.710937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6.425781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1" t="s">
        <v>71</v>
      </c>
    </row>
    <row r="2" spans="1:92" x14ac:dyDescent="0.25">
      <c r="A2" t="s">
        <v>211</v>
      </c>
      <c r="B2" t="s">
        <v>212</v>
      </c>
      <c r="C2" t="s">
        <v>72</v>
      </c>
      <c r="E2" t="str">
        <f>"009939616688"</f>
        <v>009939616688</v>
      </c>
      <c r="F2" s="2">
        <v>44314</v>
      </c>
      <c r="G2">
        <v>202110</v>
      </c>
      <c r="H2" t="s">
        <v>182</v>
      </c>
      <c r="I2" t="s">
        <v>183</v>
      </c>
      <c r="J2" t="s">
        <v>213</v>
      </c>
      <c r="K2" t="s">
        <v>73</v>
      </c>
      <c r="L2" t="s">
        <v>163</v>
      </c>
      <c r="M2" t="s">
        <v>164</v>
      </c>
      <c r="N2" t="s">
        <v>213</v>
      </c>
      <c r="O2" t="s">
        <v>100</v>
      </c>
      <c r="P2" t="str">
        <f>"STORES                        "</f>
        <v xml:space="preserve">STORES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42.38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3</v>
      </c>
      <c r="BI2">
        <v>22.6</v>
      </c>
      <c r="BJ2">
        <v>28</v>
      </c>
      <c r="BK2">
        <v>28</v>
      </c>
      <c r="BL2">
        <v>227.7</v>
      </c>
      <c r="BM2">
        <v>34.159999999999997</v>
      </c>
      <c r="BN2">
        <v>261.86</v>
      </c>
      <c r="BO2">
        <v>261.86</v>
      </c>
      <c r="BQ2" t="s">
        <v>214</v>
      </c>
      <c r="BR2" t="s">
        <v>215</v>
      </c>
      <c r="BS2" s="2">
        <v>44315</v>
      </c>
      <c r="BT2" s="3">
        <v>0.50694444444444442</v>
      </c>
      <c r="BU2" t="s">
        <v>216</v>
      </c>
      <c r="BV2" t="s">
        <v>90</v>
      </c>
      <c r="BY2">
        <v>77206.350000000006</v>
      </c>
      <c r="CA2" t="s">
        <v>165</v>
      </c>
      <c r="CC2" t="s">
        <v>164</v>
      </c>
      <c r="CD2">
        <v>850</v>
      </c>
      <c r="CE2" t="s">
        <v>80</v>
      </c>
      <c r="CI2">
        <v>1</v>
      </c>
      <c r="CJ2">
        <v>1</v>
      </c>
      <c r="CK2" t="s">
        <v>217</v>
      </c>
      <c r="CL2" t="s">
        <v>79</v>
      </c>
    </row>
    <row r="3" spans="1:92" x14ac:dyDescent="0.25">
      <c r="A3" t="s">
        <v>211</v>
      </c>
      <c r="B3" t="s">
        <v>212</v>
      </c>
      <c r="C3" t="s">
        <v>72</v>
      </c>
      <c r="E3" t="str">
        <f>"009941027616"</f>
        <v>009941027616</v>
      </c>
      <c r="F3" s="2">
        <v>44314</v>
      </c>
      <c r="G3">
        <v>202110</v>
      </c>
      <c r="H3" t="s">
        <v>192</v>
      </c>
      <c r="I3" t="s">
        <v>193</v>
      </c>
      <c r="J3" t="s">
        <v>218</v>
      </c>
      <c r="K3" t="s">
        <v>73</v>
      </c>
      <c r="L3" t="s">
        <v>182</v>
      </c>
      <c r="M3" t="s">
        <v>183</v>
      </c>
      <c r="N3" t="s">
        <v>219</v>
      </c>
      <c r="O3" t="s">
        <v>100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18.45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1.2</v>
      </c>
      <c r="BK3">
        <v>2</v>
      </c>
      <c r="BL3">
        <v>101.95</v>
      </c>
      <c r="BM3">
        <v>15.29</v>
      </c>
      <c r="BN3">
        <v>117.24</v>
      </c>
      <c r="BO3">
        <v>117.24</v>
      </c>
      <c r="BQ3" t="s">
        <v>220</v>
      </c>
      <c r="BR3" t="s">
        <v>221</v>
      </c>
      <c r="BS3" s="2">
        <v>44315</v>
      </c>
      <c r="BT3" s="3">
        <v>0.45347222222222222</v>
      </c>
      <c r="BU3" t="s">
        <v>222</v>
      </c>
      <c r="BV3" t="s">
        <v>90</v>
      </c>
      <c r="BY3">
        <v>6000</v>
      </c>
      <c r="CA3" t="s">
        <v>132</v>
      </c>
      <c r="CC3" t="s">
        <v>183</v>
      </c>
      <c r="CD3">
        <v>2146</v>
      </c>
      <c r="CE3" t="s">
        <v>80</v>
      </c>
      <c r="CF3" s="2">
        <v>44315</v>
      </c>
      <c r="CI3">
        <v>1</v>
      </c>
      <c r="CJ3">
        <v>1</v>
      </c>
      <c r="CK3" t="s">
        <v>223</v>
      </c>
      <c r="CL3" t="s">
        <v>79</v>
      </c>
    </row>
    <row r="4" spans="1:92" x14ac:dyDescent="0.25">
      <c r="A4" t="s">
        <v>211</v>
      </c>
      <c r="B4" t="s">
        <v>212</v>
      </c>
      <c r="C4" t="s">
        <v>72</v>
      </c>
      <c r="E4" t="str">
        <f>"009940957157"</f>
        <v>009940957157</v>
      </c>
      <c r="F4" s="2">
        <v>44314</v>
      </c>
      <c r="G4">
        <v>202110</v>
      </c>
      <c r="H4" t="s">
        <v>182</v>
      </c>
      <c r="I4" t="s">
        <v>183</v>
      </c>
      <c r="J4" t="s">
        <v>213</v>
      </c>
      <c r="K4" t="s">
        <v>73</v>
      </c>
      <c r="L4" t="s">
        <v>171</v>
      </c>
      <c r="M4" t="s">
        <v>172</v>
      </c>
      <c r="N4" t="s">
        <v>213</v>
      </c>
      <c r="O4" t="s">
        <v>100</v>
      </c>
      <c r="P4" t="str">
        <f>"STORES                        "</f>
        <v xml:space="preserve">STORES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13.84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3.4</v>
      </c>
      <c r="BJ4">
        <v>6.6</v>
      </c>
      <c r="BK4">
        <v>7</v>
      </c>
      <c r="BL4">
        <v>77.72</v>
      </c>
      <c r="BM4">
        <v>11.66</v>
      </c>
      <c r="BN4">
        <v>89.38</v>
      </c>
      <c r="BO4">
        <v>89.38</v>
      </c>
      <c r="BQ4" t="s">
        <v>224</v>
      </c>
      <c r="BR4" t="s">
        <v>215</v>
      </c>
      <c r="BS4" s="2">
        <v>44315</v>
      </c>
      <c r="BT4" s="3">
        <v>0.48680555555555555</v>
      </c>
      <c r="BU4" t="s">
        <v>170</v>
      </c>
      <c r="BV4" t="s">
        <v>90</v>
      </c>
      <c r="BY4">
        <v>33192.82</v>
      </c>
      <c r="CA4" t="s">
        <v>225</v>
      </c>
      <c r="CC4" t="s">
        <v>172</v>
      </c>
      <c r="CD4">
        <v>700</v>
      </c>
      <c r="CE4" t="s">
        <v>80</v>
      </c>
      <c r="CI4">
        <v>1</v>
      </c>
      <c r="CJ4">
        <v>1</v>
      </c>
      <c r="CK4" t="s">
        <v>187</v>
      </c>
      <c r="CL4" t="s">
        <v>79</v>
      </c>
    </row>
    <row r="5" spans="1:92" x14ac:dyDescent="0.25">
      <c r="A5" t="s">
        <v>211</v>
      </c>
      <c r="B5" t="s">
        <v>212</v>
      </c>
      <c r="C5" t="s">
        <v>72</v>
      </c>
      <c r="E5" t="str">
        <f>"009940540743"</f>
        <v>009940540743</v>
      </c>
      <c r="F5" s="2">
        <v>44314</v>
      </c>
      <c r="G5">
        <v>202110</v>
      </c>
      <c r="H5" t="s">
        <v>182</v>
      </c>
      <c r="I5" t="s">
        <v>183</v>
      </c>
      <c r="J5" t="s">
        <v>213</v>
      </c>
      <c r="K5" t="s">
        <v>73</v>
      </c>
      <c r="L5" t="s">
        <v>93</v>
      </c>
      <c r="M5" t="s">
        <v>94</v>
      </c>
      <c r="N5" t="s">
        <v>213</v>
      </c>
      <c r="O5" t="s">
        <v>100</v>
      </c>
      <c r="P5" t="str">
        <f>"STORES                        "</f>
        <v xml:space="preserve">STORES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28.77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9.8000000000000007</v>
      </c>
      <c r="BJ5">
        <v>25</v>
      </c>
      <c r="BK5">
        <v>25</v>
      </c>
      <c r="BL5">
        <v>156.18</v>
      </c>
      <c r="BM5">
        <v>23.43</v>
      </c>
      <c r="BN5">
        <v>179.61</v>
      </c>
      <c r="BO5">
        <v>179.61</v>
      </c>
      <c r="BQ5" t="s">
        <v>103</v>
      </c>
      <c r="BR5" t="s">
        <v>215</v>
      </c>
      <c r="BS5" s="2">
        <v>44316</v>
      </c>
      <c r="BT5" s="3">
        <v>0.35347222222222219</v>
      </c>
      <c r="BU5" t="s">
        <v>138</v>
      </c>
      <c r="BY5">
        <v>124950</v>
      </c>
      <c r="CA5" t="s">
        <v>226</v>
      </c>
      <c r="CC5" t="s">
        <v>94</v>
      </c>
      <c r="CD5">
        <v>7925</v>
      </c>
      <c r="CE5" t="s">
        <v>80</v>
      </c>
      <c r="CI5">
        <v>2</v>
      </c>
      <c r="CJ5">
        <v>2</v>
      </c>
      <c r="CK5" t="s">
        <v>134</v>
      </c>
      <c r="CL5" t="s">
        <v>79</v>
      </c>
    </row>
    <row r="6" spans="1:92" x14ac:dyDescent="0.25">
      <c r="A6" t="s">
        <v>211</v>
      </c>
      <c r="B6" t="s">
        <v>212</v>
      </c>
      <c r="C6" t="s">
        <v>72</v>
      </c>
      <c r="E6" t="str">
        <f>"009940540808"</f>
        <v>009940540808</v>
      </c>
      <c r="F6" s="2">
        <v>44314</v>
      </c>
      <c r="G6">
        <v>202110</v>
      </c>
      <c r="H6" t="s">
        <v>182</v>
      </c>
      <c r="I6" t="s">
        <v>183</v>
      </c>
      <c r="J6" t="s">
        <v>213</v>
      </c>
      <c r="K6" t="s">
        <v>73</v>
      </c>
      <c r="L6" t="s">
        <v>86</v>
      </c>
      <c r="M6" t="s">
        <v>87</v>
      </c>
      <c r="N6" t="s">
        <v>213</v>
      </c>
      <c r="O6" t="s">
        <v>100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13.84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6.8</v>
      </c>
      <c r="BJ6">
        <v>11.9</v>
      </c>
      <c r="BK6">
        <v>12</v>
      </c>
      <c r="BL6">
        <v>77.72</v>
      </c>
      <c r="BM6">
        <v>11.66</v>
      </c>
      <c r="BN6">
        <v>89.38</v>
      </c>
      <c r="BO6">
        <v>89.38</v>
      </c>
      <c r="BQ6" t="s">
        <v>103</v>
      </c>
      <c r="BR6" t="s">
        <v>215</v>
      </c>
      <c r="BS6" s="2">
        <v>44315</v>
      </c>
      <c r="BT6" s="3">
        <v>0.52777777777777779</v>
      </c>
      <c r="BU6" t="s">
        <v>227</v>
      </c>
      <c r="BV6" t="s">
        <v>90</v>
      </c>
      <c r="BY6">
        <v>59573.07</v>
      </c>
      <c r="CA6" t="s">
        <v>228</v>
      </c>
      <c r="CC6" t="s">
        <v>87</v>
      </c>
      <c r="CD6">
        <v>4000</v>
      </c>
      <c r="CE6" t="s">
        <v>80</v>
      </c>
      <c r="CF6" s="2">
        <v>44315</v>
      </c>
      <c r="CI6">
        <v>1</v>
      </c>
      <c r="CJ6">
        <v>1</v>
      </c>
      <c r="CK6" t="s">
        <v>102</v>
      </c>
      <c r="CL6" t="s">
        <v>79</v>
      </c>
    </row>
    <row r="7" spans="1:92" x14ac:dyDescent="0.25">
      <c r="A7" t="s">
        <v>211</v>
      </c>
      <c r="B7" t="s">
        <v>212</v>
      </c>
      <c r="C7" t="s">
        <v>72</v>
      </c>
      <c r="E7" t="str">
        <f>"009939685042"</f>
        <v>009939685042</v>
      </c>
      <c r="F7" s="2">
        <v>44314</v>
      </c>
      <c r="G7">
        <v>202110</v>
      </c>
      <c r="H7" t="s">
        <v>229</v>
      </c>
      <c r="I7" t="s">
        <v>230</v>
      </c>
      <c r="J7" t="s">
        <v>213</v>
      </c>
      <c r="K7" t="s">
        <v>73</v>
      </c>
      <c r="L7" t="s">
        <v>98</v>
      </c>
      <c r="M7" t="s">
        <v>99</v>
      </c>
      <c r="N7" t="s">
        <v>231</v>
      </c>
      <c r="O7" t="s">
        <v>100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87.65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60</v>
      </c>
      <c r="BJ7">
        <v>14.4</v>
      </c>
      <c r="BK7">
        <v>60</v>
      </c>
      <c r="BL7">
        <v>465.61</v>
      </c>
      <c r="BM7">
        <v>69.84</v>
      </c>
      <c r="BN7">
        <v>535.45000000000005</v>
      </c>
      <c r="BO7">
        <v>535.45000000000005</v>
      </c>
      <c r="BQ7" t="s">
        <v>232</v>
      </c>
      <c r="BR7" t="s">
        <v>233</v>
      </c>
      <c r="BS7" s="2">
        <v>44315</v>
      </c>
      <c r="BT7" s="3">
        <v>0.33333333333333331</v>
      </c>
      <c r="BU7" t="s">
        <v>234</v>
      </c>
      <c r="BV7" t="s">
        <v>90</v>
      </c>
      <c r="BY7">
        <v>72000</v>
      </c>
      <c r="CA7" t="s">
        <v>208</v>
      </c>
      <c r="CC7" t="s">
        <v>99</v>
      </c>
      <c r="CD7">
        <v>1034</v>
      </c>
      <c r="CE7" t="s">
        <v>80</v>
      </c>
      <c r="CF7" s="2">
        <v>44316</v>
      </c>
      <c r="CI7">
        <v>7</v>
      </c>
      <c r="CJ7">
        <v>1</v>
      </c>
      <c r="CK7" t="s">
        <v>135</v>
      </c>
      <c r="CL7" t="s">
        <v>79</v>
      </c>
    </row>
    <row r="8" spans="1:92" x14ac:dyDescent="0.25">
      <c r="A8" t="s">
        <v>211</v>
      </c>
      <c r="B8" t="s">
        <v>212</v>
      </c>
      <c r="C8" t="s">
        <v>72</v>
      </c>
      <c r="E8" t="str">
        <f>"009941567919"</f>
        <v>009941567919</v>
      </c>
      <c r="F8" s="2">
        <v>44314</v>
      </c>
      <c r="G8">
        <v>202110</v>
      </c>
      <c r="H8" t="s">
        <v>182</v>
      </c>
      <c r="I8" t="s">
        <v>183</v>
      </c>
      <c r="J8" t="s">
        <v>213</v>
      </c>
      <c r="K8" t="s">
        <v>73</v>
      </c>
      <c r="L8" t="s">
        <v>119</v>
      </c>
      <c r="M8" t="s">
        <v>120</v>
      </c>
      <c r="N8" t="s">
        <v>213</v>
      </c>
      <c r="O8" t="s">
        <v>100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67.84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22.7</v>
      </c>
      <c r="BJ8">
        <v>45.5</v>
      </c>
      <c r="BK8">
        <v>46</v>
      </c>
      <c r="BL8">
        <v>361.52</v>
      </c>
      <c r="BM8">
        <v>54.23</v>
      </c>
      <c r="BN8">
        <v>415.75</v>
      </c>
      <c r="BO8">
        <v>415.75</v>
      </c>
      <c r="BQ8" t="s">
        <v>103</v>
      </c>
      <c r="BR8" t="s">
        <v>235</v>
      </c>
      <c r="BS8" t="s">
        <v>77</v>
      </c>
      <c r="BY8">
        <v>227607.4</v>
      </c>
      <c r="CC8" t="s">
        <v>120</v>
      </c>
      <c r="CD8">
        <v>6530</v>
      </c>
      <c r="CE8" t="s">
        <v>80</v>
      </c>
      <c r="CI8">
        <v>2</v>
      </c>
      <c r="CJ8" t="s">
        <v>77</v>
      </c>
      <c r="CK8" t="s">
        <v>135</v>
      </c>
      <c r="CL8" t="s">
        <v>79</v>
      </c>
    </row>
    <row r="9" spans="1:92" x14ac:dyDescent="0.25">
      <c r="A9" t="s">
        <v>211</v>
      </c>
      <c r="B9" t="s">
        <v>212</v>
      </c>
      <c r="C9" t="s">
        <v>72</v>
      </c>
      <c r="E9" t="str">
        <f>"009940956781"</f>
        <v>009940956781</v>
      </c>
      <c r="F9" s="2">
        <v>44314</v>
      </c>
      <c r="G9">
        <v>202110</v>
      </c>
      <c r="H9" t="s">
        <v>182</v>
      </c>
      <c r="I9" t="s">
        <v>183</v>
      </c>
      <c r="J9" t="s">
        <v>213</v>
      </c>
      <c r="K9" t="s">
        <v>73</v>
      </c>
      <c r="L9" t="s">
        <v>98</v>
      </c>
      <c r="M9" t="s">
        <v>99</v>
      </c>
      <c r="N9" t="s">
        <v>213</v>
      </c>
      <c r="O9" t="s">
        <v>100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33.29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36.299999999999997</v>
      </c>
      <c r="BJ9">
        <v>22.6</v>
      </c>
      <c r="BK9">
        <v>37</v>
      </c>
      <c r="BL9">
        <v>179.93</v>
      </c>
      <c r="BM9">
        <v>26.99</v>
      </c>
      <c r="BN9">
        <v>206.92</v>
      </c>
      <c r="BO9">
        <v>206.92</v>
      </c>
      <c r="BQ9" t="s">
        <v>103</v>
      </c>
      <c r="BR9" t="s">
        <v>215</v>
      </c>
      <c r="BS9" s="2">
        <v>44315</v>
      </c>
      <c r="BT9" s="3">
        <v>0.33333333333333331</v>
      </c>
      <c r="BU9" t="s">
        <v>234</v>
      </c>
      <c r="BV9" t="s">
        <v>90</v>
      </c>
      <c r="BY9">
        <v>112977.23</v>
      </c>
      <c r="CA9" t="s">
        <v>208</v>
      </c>
      <c r="CC9" t="s">
        <v>99</v>
      </c>
      <c r="CD9">
        <v>1034</v>
      </c>
      <c r="CE9" t="s">
        <v>80</v>
      </c>
      <c r="CF9" s="2">
        <v>44316</v>
      </c>
      <c r="CI9">
        <v>1</v>
      </c>
      <c r="CJ9">
        <v>1</v>
      </c>
      <c r="CK9" t="s">
        <v>168</v>
      </c>
      <c r="CL9" t="s">
        <v>79</v>
      </c>
    </row>
    <row r="10" spans="1:92" x14ac:dyDescent="0.25">
      <c r="A10" t="s">
        <v>211</v>
      </c>
      <c r="B10" t="s">
        <v>212</v>
      </c>
      <c r="C10" t="s">
        <v>72</v>
      </c>
      <c r="E10" t="str">
        <f>"009940885752"</f>
        <v>009940885752</v>
      </c>
      <c r="F10" s="2">
        <v>44314</v>
      </c>
      <c r="G10">
        <v>202110</v>
      </c>
      <c r="H10" t="s">
        <v>171</v>
      </c>
      <c r="I10" t="s">
        <v>172</v>
      </c>
      <c r="J10" t="s">
        <v>213</v>
      </c>
      <c r="K10" t="s">
        <v>73</v>
      </c>
      <c r="L10" t="s">
        <v>74</v>
      </c>
      <c r="M10" t="s">
        <v>75</v>
      </c>
      <c r="N10" t="s">
        <v>218</v>
      </c>
      <c r="O10" t="s">
        <v>100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120.96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4</v>
      </c>
      <c r="BI10">
        <v>60</v>
      </c>
      <c r="BJ10">
        <v>166.4</v>
      </c>
      <c r="BK10">
        <v>167</v>
      </c>
      <c r="BL10">
        <v>640.70000000000005</v>
      </c>
      <c r="BM10">
        <v>96.11</v>
      </c>
      <c r="BN10">
        <v>736.81</v>
      </c>
      <c r="BO10">
        <v>736.81</v>
      </c>
      <c r="BQ10" t="s">
        <v>236</v>
      </c>
      <c r="BR10" t="s">
        <v>162</v>
      </c>
      <c r="BS10" s="2">
        <v>44315</v>
      </c>
      <c r="BT10" s="3">
        <v>0.38750000000000001</v>
      </c>
      <c r="BU10" t="s">
        <v>115</v>
      </c>
      <c r="BV10" t="s">
        <v>90</v>
      </c>
      <c r="BY10">
        <v>598430</v>
      </c>
      <c r="CA10" t="s">
        <v>237</v>
      </c>
      <c r="CC10" t="s">
        <v>75</v>
      </c>
      <c r="CD10">
        <v>2196</v>
      </c>
      <c r="CE10" t="s">
        <v>80</v>
      </c>
      <c r="CF10" s="2">
        <v>44316</v>
      </c>
      <c r="CI10">
        <v>1</v>
      </c>
      <c r="CJ10">
        <v>1</v>
      </c>
      <c r="CK10" t="s">
        <v>168</v>
      </c>
      <c r="CL10" t="s">
        <v>79</v>
      </c>
    </row>
    <row r="11" spans="1:92" x14ac:dyDescent="0.25">
      <c r="A11" t="s">
        <v>211</v>
      </c>
      <c r="B11" t="s">
        <v>212</v>
      </c>
      <c r="C11" t="s">
        <v>72</v>
      </c>
      <c r="E11" t="str">
        <f>"009940776178"</f>
        <v>009940776178</v>
      </c>
      <c r="F11" s="2">
        <v>44314</v>
      </c>
      <c r="G11">
        <v>202110</v>
      </c>
      <c r="H11" t="s">
        <v>88</v>
      </c>
      <c r="I11" t="s">
        <v>89</v>
      </c>
      <c r="J11" t="s">
        <v>238</v>
      </c>
      <c r="K11" t="s">
        <v>73</v>
      </c>
      <c r="L11" t="s">
        <v>82</v>
      </c>
      <c r="M11" t="s">
        <v>83</v>
      </c>
      <c r="N11" t="s">
        <v>213</v>
      </c>
      <c r="O11" t="s">
        <v>100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26.34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2</v>
      </c>
      <c r="BI11">
        <v>29.4</v>
      </c>
      <c r="BJ11">
        <v>32.799999999999997</v>
      </c>
      <c r="BK11">
        <v>33</v>
      </c>
      <c r="BL11">
        <v>143.44</v>
      </c>
      <c r="BM11">
        <v>21.52</v>
      </c>
      <c r="BN11">
        <v>164.96</v>
      </c>
      <c r="BO11">
        <v>164.96</v>
      </c>
      <c r="BQ11" t="s">
        <v>239</v>
      </c>
      <c r="BR11" t="s">
        <v>240</v>
      </c>
      <c r="BS11" s="2">
        <v>44315</v>
      </c>
      <c r="BT11" s="3">
        <v>0.41666666666666669</v>
      </c>
      <c r="BU11" t="s">
        <v>241</v>
      </c>
      <c r="BV11" t="s">
        <v>90</v>
      </c>
      <c r="BY11">
        <v>164016</v>
      </c>
      <c r="CC11" t="s">
        <v>83</v>
      </c>
      <c r="CD11">
        <v>5200</v>
      </c>
      <c r="CE11" t="s">
        <v>80</v>
      </c>
      <c r="CF11" s="2">
        <v>44315</v>
      </c>
      <c r="CI11">
        <v>1</v>
      </c>
      <c r="CJ11">
        <v>1</v>
      </c>
      <c r="CK11" t="s">
        <v>101</v>
      </c>
      <c r="CL11" t="s">
        <v>79</v>
      </c>
    </row>
    <row r="12" spans="1:92" x14ac:dyDescent="0.25">
      <c r="A12" t="s">
        <v>211</v>
      </c>
      <c r="B12" t="s">
        <v>212</v>
      </c>
      <c r="C12" t="s">
        <v>72</v>
      </c>
      <c r="E12" t="str">
        <f>"009939737295"</f>
        <v>009939737295</v>
      </c>
      <c r="F12" s="2">
        <v>44309</v>
      </c>
      <c r="G12">
        <v>202110</v>
      </c>
      <c r="H12" t="s">
        <v>194</v>
      </c>
      <c r="I12" t="s">
        <v>195</v>
      </c>
      <c r="J12" t="s">
        <v>213</v>
      </c>
      <c r="K12" t="s">
        <v>73</v>
      </c>
      <c r="L12" t="s">
        <v>108</v>
      </c>
      <c r="M12" t="s">
        <v>109</v>
      </c>
      <c r="N12" t="s">
        <v>213</v>
      </c>
      <c r="O12" t="s">
        <v>100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33.89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</v>
      </c>
      <c r="BJ12">
        <v>21.6</v>
      </c>
      <c r="BK12">
        <v>22</v>
      </c>
      <c r="BL12">
        <v>183.09</v>
      </c>
      <c r="BM12">
        <v>27.46</v>
      </c>
      <c r="BN12">
        <v>210.55</v>
      </c>
      <c r="BO12">
        <v>210.55</v>
      </c>
      <c r="BQ12" t="s">
        <v>242</v>
      </c>
      <c r="BR12" t="s">
        <v>243</v>
      </c>
      <c r="BS12" s="2">
        <v>44312</v>
      </c>
      <c r="BT12" s="3">
        <v>0.38819444444444445</v>
      </c>
      <c r="BU12" t="s">
        <v>244</v>
      </c>
      <c r="BV12" t="s">
        <v>90</v>
      </c>
      <c r="BY12">
        <v>107848</v>
      </c>
      <c r="CA12" t="s">
        <v>158</v>
      </c>
      <c r="CC12" t="s">
        <v>109</v>
      </c>
      <c r="CD12">
        <v>300</v>
      </c>
      <c r="CE12" t="s">
        <v>92</v>
      </c>
      <c r="CF12" s="2">
        <v>44312</v>
      </c>
      <c r="CI12">
        <v>1</v>
      </c>
      <c r="CJ12">
        <v>1</v>
      </c>
      <c r="CK12" t="s">
        <v>196</v>
      </c>
      <c r="CL12" t="s">
        <v>79</v>
      </c>
    </row>
    <row r="13" spans="1:92" x14ac:dyDescent="0.25">
      <c r="A13" t="s">
        <v>211</v>
      </c>
      <c r="B13" t="s">
        <v>212</v>
      </c>
      <c r="C13" t="s">
        <v>72</v>
      </c>
      <c r="E13" t="str">
        <f>"009940043017"</f>
        <v>009940043017</v>
      </c>
      <c r="F13" s="2">
        <v>44315</v>
      </c>
      <c r="G13">
        <v>202110</v>
      </c>
      <c r="H13" t="s">
        <v>98</v>
      </c>
      <c r="I13" t="s">
        <v>99</v>
      </c>
      <c r="J13" t="s">
        <v>245</v>
      </c>
      <c r="K13" t="s">
        <v>73</v>
      </c>
      <c r="L13" t="s">
        <v>182</v>
      </c>
      <c r="M13" t="s">
        <v>183</v>
      </c>
      <c r="N13" t="s">
        <v>213</v>
      </c>
      <c r="O13" t="s">
        <v>76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19.059999999999999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100.18</v>
      </c>
      <c r="BM13">
        <v>15.03</v>
      </c>
      <c r="BN13">
        <v>115.21</v>
      </c>
      <c r="BO13">
        <v>115.21</v>
      </c>
      <c r="BQ13" t="s">
        <v>246</v>
      </c>
      <c r="BR13" t="s">
        <v>247</v>
      </c>
      <c r="BS13" s="2">
        <v>44316</v>
      </c>
      <c r="BT13" s="3">
        <v>0.32847222222222222</v>
      </c>
      <c r="BU13" t="s">
        <v>248</v>
      </c>
      <c r="BV13" t="s">
        <v>90</v>
      </c>
      <c r="BY13">
        <v>1200</v>
      </c>
      <c r="BZ13" t="s">
        <v>81</v>
      </c>
      <c r="CA13" t="s">
        <v>132</v>
      </c>
      <c r="CC13" t="s">
        <v>183</v>
      </c>
      <c r="CD13">
        <v>2146</v>
      </c>
      <c r="CE13" t="s">
        <v>80</v>
      </c>
      <c r="CI13">
        <v>1</v>
      </c>
      <c r="CJ13">
        <v>1</v>
      </c>
      <c r="CK13">
        <v>23</v>
      </c>
      <c r="CL13" t="s">
        <v>79</v>
      </c>
    </row>
    <row r="14" spans="1:92" x14ac:dyDescent="0.25">
      <c r="A14" t="s">
        <v>211</v>
      </c>
      <c r="B14" t="s">
        <v>212</v>
      </c>
      <c r="C14" t="s">
        <v>72</v>
      </c>
      <c r="E14" t="str">
        <f>"009938681279"</f>
        <v>009938681279</v>
      </c>
      <c r="F14" s="2">
        <v>44312</v>
      </c>
      <c r="G14">
        <v>202110</v>
      </c>
      <c r="H14" t="s">
        <v>182</v>
      </c>
      <c r="I14" t="s">
        <v>183</v>
      </c>
      <c r="J14" t="s">
        <v>213</v>
      </c>
      <c r="K14" t="s">
        <v>73</v>
      </c>
      <c r="L14" t="s">
        <v>229</v>
      </c>
      <c r="M14" t="s">
        <v>230</v>
      </c>
      <c r="N14" t="s">
        <v>249</v>
      </c>
      <c r="O14" t="s">
        <v>76</v>
      </c>
      <c r="P14" t="str">
        <f>"LOCKS                         "</f>
        <v xml:space="preserve">LOCKS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19.059999999999999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100.18</v>
      </c>
      <c r="BM14">
        <v>15.03</v>
      </c>
      <c r="BN14">
        <v>115.21</v>
      </c>
      <c r="BO14">
        <v>115.21</v>
      </c>
      <c r="BQ14" t="s">
        <v>250</v>
      </c>
      <c r="BR14" t="s">
        <v>251</v>
      </c>
      <c r="BS14" t="s">
        <v>77</v>
      </c>
      <c r="BY14">
        <v>1200</v>
      </c>
      <c r="BZ14" t="s">
        <v>252</v>
      </c>
      <c r="CC14" t="s">
        <v>230</v>
      </c>
      <c r="CD14">
        <v>450</v>
      </c>
      <c r="CF14" s="2">
        <v>44314</v>
      </c>
      <c r="CI14">
        <v>1</v>
      </c>
      <c r="CJ14" t="s">
        <v>77</v>
      </c>
      <c r="CK14">
        <v>23</v>
      </c>
      <c r="CL14" t="s">
        <v>79</v>
      </c>
    </row>
    <row r="15" spans="1:92" x14ac:dyDescent="0.25">
      <c r="A15" t="s">
        <v>211</v>
      </c>
      <c r="B15" t="s">
        <v>212</v>
      </c>
      <c r="C15" t="s">
        <v>72</v>
      </c>
      <c r="E15" t="str">
        <f>"009938681267"</f>
        <v>009938681267</v>
      </c>
      <c r="F15" s="2">
        <v>44315</v>
      </c>
      <c r="G15">
        <v>202110</v>
      </c>
      <c r="H15" t="s">
        <v>182</v>
      </c>
      <c r="I15" t="s">
        <v>183</v>
      </c>
      <c r="J15" t="s">
        <v>213</v>
      </c>
      <c r="K15" t="s">
        <v>73</v>
      </c>
      <c r="L15" t="s">
        <v>229</v>
      </c>
      <c r="M15" t="s">
        <v>230</v>
      </c>
      <c r="N15" t="s">
        <v>253</v>
      </c>
      <c r="O15" t="s">
        <v>76</v>
      </c>
      <c r="P15" t="str">
        <f t="shared" ref="P15:P26" si="0"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19.059999999999999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100.18</v>
      </c>
      <c r="BM15">
        <v>15.03</v>
      </c>
      <c r="BN15">
        <v>115.21</v>
      </c>
      <c r="BO15">
        <v>115.21</v>
      </c>
      <c r="BQ15" t="s">
        <v>103</v>
      </c>
      <c r="BR15" t="s">
        <v>215</v>
      </c>
      <c r="BS15" t="s">
        <v>77</v>
      </c>
      <c r="BY15">
        <v>1200</v>
      </c>
      <c r="BZ15" t="s">
        <v>95</v>
      </c>
      <c r="CC15" t="s">
        <v>230</v>
      </c>
      <c r="CD15">
        <v>450</v>
      </c>
      <c r="CE15" t="s">
        <v>80</v>
      </c>
      <c r="CI15">
        <v>1</v>
      </c>
      <c r="CJ15" t="s">
        <v>77</v>
      </c>
      <c r="CK15">
        <v>23</v>
      </c>
      <c r="CL15" t="s">
        <v>79</v>
      </c>
    </row>
    <row r="16" spans="1:92" x14ac:dyDescent="0.25">
      <c r="A16" t="s">
        <v>211</v>
      </c>
      <c r="B16" t="s">
        <v>212</v>
      </c>
      <c r="C16" t="s">
        <v>72</v>
      </c>
      <c r="E16" t="str">
        <f>"009940540793"</f>
        <v>009940540793</v>
      </c>
      <c r="F16" s="2">
        <v>44315</v>
      </c>
      <c r="G16">
        <v>202110</v>
      </c>
      <c r="H16" t="s">
        <v>182</v>
      </c>
      <c r="I16" t="s">
        <v>183</v>
      </c>
      <c r="J16" t="s">
        <v>213</v>
      </c>
      <c r="K16" t="s">
        <v>73</v>
      </c>
      <c r="L16" t="s">
        <v>86</v>
      </c>
      <c r="M16" t="s">
        <v>87</v>
      </c>
      <c r="N16" t="s">
        <v>254</v>
      </c>
      <c r="O16" t="s">
        <v>100</v>
      </c>
      <c r="P16" t="str">
        <f t="shared" si="0"/>
        <v xml:space="preserve">STORES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83.77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118</v>
      </c>
      <c r="BJ16">
        <v>135</v>
      </c>
      <c r="BK16">
        <v>135</v>
      </c>
      <c r="BL16">
        <v>445.25</v>
      </c>
      <c r="BM16">
        <v>66.790000000000006</v>
      </c>
      <c r="BN16">
        <v>512.04</v>
      </c>
      <c r="BO16">
        <v>512.04</v>
      </c>
      <c r="BQ16" t="s">
        <v>103</v>
      </c>
      <c r="BR16" t="s">
        <v>215</v>
      </c>
      <c r="BS16" t="s">
        <v>77</v>
      </c>
      <c r="BY16">
        <v>675000</v>
      </c>
      <c r="CC16" t="s">
        <v>87</v>
      </c>
      <c r="CD16">
        <v>4000</v>
      </c>
      <c r="CE16" t="s">
        <v>80</v>
      </c>
      <c r="CI16">
        <v>1</v>
      </c>
      <c r="CJ16" t="s">
        <v>77</v>
      </c>
      <c r="CK16" t="s">
        <v>102</v>
      </c>
      <c r="CL16" t="s">
        <v>79</v>
      </c>
    </row>
    <row r="17" spans="1:90" x14ac:dyDescent="0.25">
      <c r="A17" t="s">
        <v>211</v>
      </c>
      <c r="B17" t="s">
        <v>212</v>
      </c>
      <c r="C17" t="s">
        <v>72</v>
      </c>
      <c r="E17" t="str">
        <f>"009940995848"</f>
        <v>009940995848</v>
      </c>
      <c r="F17" s="2">
        <v>44315</v>
      </c>
      <c r="G17">
        <v>202110</v>
      </c>
      <c r="H17" t="s">
        <v>182</v>
      </c>
      <c r="I17" t="s">
        <v>183</v>
      </c>
      <c r="J17" t="s">
        <v>213</v>
      </c>
      <c r="K17" t="s">
        <v>73</v>
      </c>
      <c r="L17" t="s">
        <v>119</v>
      </c>
      <c r="M17" t="s">
        <v>120</v>
      </c>
      <c r="N17" t="s">
        <v>213</v>
      </c>
      <c r="O17" t="s">
        <v>100</v>
      </c>
      <c r="P17" t="str">
        <f t="shared" si="0"/>
        <v xml:space="preserve">STORES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23.98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0.6</v>
      </c>
      <c r="BJ17">
        <v>2</v>
      </c>
      <c r="BK17">
        <v>2</v>
      </c>
      <c r="BL17">
        <v>131.04</v>
      </c>
      <c r="BM17">
        <v>19.66</v>
      </c>
      <c r="BN17">
        <v>150.69999999999999</v>
      </c>
      <c r="BO17">
        <v>150.69999999999999</v>
      </c>
      <c r="BQ17" t="s">
        <v>103</v>
      </c>
      <c r="BR17" t="s">
        <v>215</v>
      </c>
      <c r="BS17" t="s">
        <v>77</v>
      </c>
      <c r="BY17">
        <v>10141.120000000001</v>
      </c>
      <c r="CC17" t="s">
        <v>120</v>
      </c>
      <c r="CD17">
        <v>6530</v>
      </c>
      <c r="CE17" t="s">
        <v>80</v>
      </c>
      <c r="CI17">
        <v>0</v>
      </c>
      <c r="CJ17">
        <v>0</v>
      </c>
      <c r="CK17" t="s">
        <v>135</v>
      </c>
      <c r="CL17" t="s">
        <v>79</v>
      </c>
    </row>
    <row r="18" spans="1:90" x14ac:dyDescent="0.25">
      <c r="A18" t="s">
        <v>211</v>
      </c>
      <c r="B18" t="s">
        <v>212</v>
      </c>
      <c r="C18" t="s">
        <v>72</v>
      </c>
      <c r="E18" t="str">
        <f>"009941567917"</f>
        <v>009941567917</v>
      </c>
      <c r="F18" s="2">
        <v>44315</v>
      </c>
      <c r="G18">
        <v>202110</v>
      </c>
      <c r="H18" t="s">
        <v>182</v>
      </c>
      <c r="I18" t="s">
        <v>183</v>
      </c>
      <c r="J18" t="s">
        <v>213</v>
      </c>
      <c r="K18" t="s">
        <v>73</v>
      </c>
      <c r="L18" t="s">
        <v>194</v>
      </c>
      <c r="M18" t="s">
        <v>195</v>
      </c>
      <c r="N18" t="s">
        <v>213</v>
      </c>
      <c r="O18" t="s">
        <v>100</v>
      </c>
      <c r="P18" t="str">
        <f t="shared" si="0"/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72.08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4</v>
      </c>
      <c r="BI18">
        <v>48.1</v>
      </c>
      <c r="BJ18">
        <v>16.5</v>
      </c>
      <c r="BK18">
        <v>49</v>
      </c>
      <c r="BL18">
        <v>383.82</v>
      </c>
      <c r="BM18">
        <v>57.57</v>
      </c>
      <c r="BN18">
        <v>441.39</v>
      </c>
      <c r="BO18">
        <v>441.39</v>
      </c>
      <c r="BQ18" t="s">
        <v>103</v>
      </c>
      <c r="BR18" t="s">
        <v>215</v>
      </c>
      <c r="BS18" t="s">
        <v>77</v>
      </c>
      <c r="BY18">
        <v>82589.61</v>
      </c>
      <c r="CC18" t="s">
        <v>195</v>
      </c>
      <c r="CD18">
        <v>2745</v>
      </c>
      <c r="CE18" t="s">
        <v>80</v>
      </c>
      <c r="CI18">
        <v>1</v>
      </c>
      <c r="CJ18" t="s">
        <v>77</v>
      </c>
      <c r="CK18" t="s">
        <v>217</v>
      </c>
      <c r="CL18" t="s">
        <v>79</v>
      </c>
    </row>
    <row r="19" spans="1:90" x14ac:dyDescent="0.25">
      <c r="A19" t="s">
        <v>211</v>
      </c>
      <c r="B19" t="s">
        <v>212</v>
      </c>
      <c r="C19" t="s">
        <v>72</v>
      </c>
      <c r="E19" t="str">
        <f>"009940956584"</f>
        <v>009940956584</v>
      </c>
      <c r="F19" s="2">
        <v>44315</v>
      </c>
      <c r="G19">
        <v>202110</v>
      </c>
      <c r="H19" t="s">
        <v>182</v>
      </c>
      <c r="I19" t="s">
        <v>183</v>
      </c>
      <c r="J19" t="s">
        <v>213</v>
      </c>
      <c r="K19" t="s">
        <v>73</v>
      </c>
      <c r="L19" t="s">
        <v>108</v>
      </c>
      <c r="M19" t="s">
        <v>109</v>
      </c>
      <c r="N19" t="s">
        <v>255</v>
      </c>
      <c r="O19" t="s">
        <v>100</v>
      </c>
      <c r="P19" t="str">
        <f t="shared" si="0"/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118.27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5</v>
      </c>
      <c r="BI19">
        <v>137.19999999999999</v>
      </c>
      <c r="BJ19">
        <v>162.4</v>
      </c>
      <c r="BK19">
        <v>163</v>
      </c>
      <c r="BL19">
        <v>626.53</v>
      </c>
      <c r="BM19">
        <v>93.98</v>
      </c>
      <c r="BN19">
        <v>720.51</v>
      </c>
      <c r="BO19">
        <v>720.51</v>
      </c>
      <c r="BQ19" t="s">
        <v>103</v>
      </c>
      <c r="BR19" t="s">
        <v>215</v>
      </c>
      <c r="BS19" t="s">
        <v>77</v>
      </c>
      <c r="BY19">
        <v>812073.95</v>
      </c>
      <c r="CC19" t="s">
        <v>109</v>
      </c>
      <c r="CD19">
        <v>299</v>
      </c>
      <c r="CE19" t="s">
        <v>80</v>
      </c>
      <c r="CI19">
        <v>1</v>
      </c>
      <c r="CJ19" t="s">
        <v>77</v>
      </c>
      <c r="CK19" t="s">
        <v>168</v>
      </c>
      <c r="CL19" t="s">
        <v>79</v>
      </c>
    </row>
    <row r="20" spans="1:90" x14ac:dyDescent="0.25">
      <c r="A20" t="s">
        <v>211</v>
      </c>
      <c r="B20" t="s">
        <v>212</v>
      </c>
      <c r="C20" t="s">
        <v>72</v>
      </c>
      <c r="E20" t="str">
        <f>"009940957158"</f>
        <v>009940957158</v>
      </c>
      <c r="F20" s="2">
        <v>44315</v>
      </c>
      <c r="G20">
        <v>202110</v>
      </c>
      <c r="H20" t="s">
        <v>182</v>
      </c>
      <c r="I20" t="s">
        <v>183</v>
      </c>
      <c r="J20" t="s">
        <v>213</v>
      </c>
      <c r="K20" t="s">
        <v>73</v>
      </c>
      <c r="L20" t="s">
        <v>171</v>
      </c>
      <c r="M20" t="s">
        <v>172</v>
      </c>
      <c r="N20" t="s">
        <v>256</v>
      </c>
      <c r="O20" t="s">
        <v>100</v>
      </c>
      <c r="P20" t="str">
        <f t="shared" si="0"/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100.09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6</v>
      </c>
      <c r="BI20">
        <v>141.6</v>
      </c>
      <c r="BJ20">
        <v>162.80000000000001</v>
      </c>
      <c r="BK20">
        <v>163</v>
      </c>
      <c r="BL20">
        <v>531.01</v>
      </c>
      <c r="BM20">
        <v>79.650000000000006</v>
      </c>
      <c r="BN20">
        <v>610.66</v>
      </c>
      <c r="BO20">
        <v>610.66</v>
      </c>
      <c r="BQ20" t="s">
        <v>103</v>
      </c>
      <c r="BR20" t="s">
        <v>215</v>
      </c>
      <c r="BS20" t="s">
        <v>77</v>
      </c>
      <c r="BY20">
        <v>814143.7</v>
      </c>
      <c r="CC20" t="s">
        <v>172</v>
      </c>
      <c r="CD20">
        <v>700</v>
      </c>
      <c r="CE20" t="s">
        <v>80</v>
      </c>
      <c r="CI20">
        <v>1</v>
      </c>
      <c r="CJ20" t="s">
        <v>77</v>
      </c>
      <c r="CK20" t="s">
        <v>187</v>
      </c>
      <c r="CL20" t="s">
        <v>79</v>
      </c>
    </row>
    <row r="21" spans="1:90" x14ac:dyDescent="0.25">
      <c r="A21" t="s">
        <v>211</v>
      </c>
      <c r="B21" t="s">
        <v>212</v>
      </c>
      <c r="C21" t="s">
        <v>72</v>
      </c>
      <c r="E21" t="str">
        <f>"009940540744"</f>
        <v>009940540744</v>
      </c>
      <c r="F21" s="2">
        <v>44315</v>
      </c>
      <c r="G21">
        <v>202110</v>
      </c>
      <c r="H21" t="s">
        <v>182</v>
      </c>
      <c r="I21" t="s">
        <v>183</v>
      </c>
      <c r="J21" t="s">
        <v>213</v>
      </c>
      <c r="K21" t="s">
        <v>73</v>
      </c>
      <c r="L21" t="s">
        <v>133</v>
      </c>
      <c r="M21" t="s">
        <v>94</v>
      </c>
      <c r="N21" t="s">
        <v>257</v>
      </c>
      <c r="O21" t="s">
        <v>100</v>
      </c>
      <c r="P21" t="str">
        <f t="shared" si="0"/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94.31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5</v>
      </c>
      <c r="BI21">
        <v>84.8</v>
      </c>
      <c r="BJ21">
        <v>100.3</v>
      </c>
      <c r="BK21">
        <v>101</v>
      </c>
      <c r="BL21">
        <v>500.64</v>
      </c>
      <c r="BM21">
        <v>75.099999999999994</v>
      </c>
      <c r="BN21">
        <v>575.74</v>
      </c>
      <c r="BO21">
        <v>575.74</v>
      </c>
      <c r="BQ21" t="s">
        <v>103</v>
      </c>
      <c r="BR21" t="s">
        <v>215</v>
      </c>
      <c r="BS21" t="s">
        <v>77</v>
      </c>
      <c r="BY21">
        <v>501499.61</v>
      </c>
      <c r="CC21" t="s">
        <v>94</v>
      </c>
      <c r="CD21">
        <v>7925</v>
      </c>
      <c r="CE21" t="s">
        <v>80</v>
      </c>
      <c r="CI21">
        <v>2</v>
      </c>
      <c r="CJ21" t="s">
        <v>77</v>
      </c>
      <c r="CK21" t="s">
        <v>134</v>
      </c>
      <c r="CL21" t="s">
        <v>79</v>
      </c>
    </row>
    <row r="22" spans="1:90" x14ac:dyDescent="0.25">
      <c r="A22" t="s">
        <v>211</v>
      </c>
      <c r="B22" t="s">
        <v>212</v>
      </c>
      <c r="C22" t="s">
        <v>72</v>
      </c>
      <c r="E22" t="str">
        <f>"009935998624"</f>
        <v>009935998624</v>
      </c>
      <c r="F22" s="2">
        <v>44315</v>
      </c>
      <c r="G22">
        <v>202110</v>
      </c>
      <c r="H22" t="s">
        <v>182</v>
      </c>
      <c r="I22" t="s">
        <v>183</v>
      </c>
      <c r="J22" t="s">
        <v>213</v>
      </c>
      <c r="K22" t="s">
        <v>73</v>
      </c>
      <c r="L22" t="s">
        <v>199</v>
      </c>
      <c r="M22" t="s">
        <v>200</v>
      </c>
      <c r="N22" t="s">
        <v>213</v>
      </c>
      <c r="O22" t="s">
        <v>100</v>
      </c>
      <c r="P22" t="str">
        <f t="shared" si="0"/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16.170000000000002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3</v>
      </c>
      <c r="BI22">
        <v>16</v>
      </c>
      <c r="BJ22">
        <v>18.7</v>
      </c>
      <c r="BK22">
        <v>19</v>
      </c>
      <c r="BL22">
        <v>89.97</v>
      </c>
      <c r="BM22">
        <v>13.5</v>
      </c>
      <c r="BN22">
        <v>103.47</v>
      </c>
      <c r="BO22">
        <v>103.47</v>
      </c>
      <c r="BQ22" t="s">
        <v>103</v>
      </c>
      <c r="BR22" t="s">
        <v>215</v>
      </c>
      <c r="BS22" t="s">
        <v>77</v>
      </c>
      <c r="BY22">
        <v>93344.17</v>
      </c>
      <c r="CC22" t="s">
        <v>200</v>
      </c>
      <c r="CD22">
        <v>9301</v>
      </c>
      <c r="CE22" t="s">
        <v>80</v>
      </c>
      <c r="CI22">
        <v>1</v>
      </c>
      <c r="CJ22" t="s">
        <v>77</v>
      </c>
      <c r="CK22" t="s">
        <v>187</v>
      </c>
      <c r="CL22" t="s">
        <v>79</v>
      </c>
    </row>
    <row r="23" spans="1:90" x14ac:dyDescent="0.25">
      <c r="A23" t="s">
        <v>211</v>
      </c>
      <c r="B23" t="s">
        <v>212</v>
      </c>
      <c r="C23" t="s">
        <v>72</v>
      </c>
      <c r="E23" t="str">
        <f>"009940957159"</f>
        <v>009940957159</v>
      </c>
      <c r="F23" s="2">
        <v>44315</v>
      </c>
      <c r="G23">
        <v>202110</v>
      </c>
      <c r="H23" t="s">
        <v>182</v>
      </c>
      <c r="I23" t="s">
        <v>183</v>
      </c>
      <c r="J23" t="s">
        <v>213</v>
      </c>
      <c r="K23" t="s">
        <v>73</v>
      </c>
      <c r="L23" t="s">
        <v>171</v>
      </c>
      <c r="M23" t="s">
        <v>172</v>
      </c>
      <c r="N23" t="s">
        <v>213</v>
      </c>
      <c r="O23" t="s">
        <v>100</v>
      </c>
      <c r="P23" t="str">
        <f t="shared" si="0"/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39.479999999999997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59</v>
      </c>
      <c r="BJ23">
        <v>52.8</v>
      </c>
      <c r="BK23">
        <v>59</v>
      </c>
      <c r="BL23">
        <v>212.48</v>
      </c>
      <c r="BM23">
        <v>31.87</v>
      </c>
      <c r="BN23">
        <v>244.35</v>
      </c>
      <c r="BO23">
        <v>244.35</v>
      </c>
      <c r="BQ23" t="s">
        <v>103</v>
      </c>
      <c r="BR23" t="s">
        <v>215</v>
      </c>
      <c r="BS23" t="s">
        <v>77</v>
      </c>
      <c r="BY23">
        <v>264000</v>
      </c>
      <c r="CC23" t="s">
        <v>172</v>
      </c>
      <c r="CD23">
        <v>700</v>
      </c>
      <c r="CE23" t="s">
        <v>80</v>
      </c>
      <c r="CI23">
        <v>1</v>
      </c>
      <c r="CJ23" t="s">
        <v>77</v>
      </c>
      <c r="CK23" t="s">
        <v>187</v>
      </c>
      <c r="CL23" t="s">
        <v>79</v>
      </c>
    </row>
    <row r="24" spans="1:90" x14ac:dyDescent="0.25">
      <c r="A24" t="s">
        <v>211</v>
      </c>
      <c r="B24" t="s">
        <v>212</v>
      </c>
      <c r="C24" t="s">
        <v>72</v>
      </c>
      <c r="E24" t="str">
        <f>"009940540794"</f>
        <v>009940540794</v>
      </c>
      <c r="F24" s="2">
        <v>44315</v>
      </c>
      <c r="G24">
        <v>202110</v>
      </c>
      <c r="H24" t="s">
        <v>182</v>
      </c>
      <c r="I24" t="s">
        <v>183</v>
      </c>
      <c r="J24" t="s">
        <v>213</v>
      </c>
      <c r="K24" t="s">
        <v>73</v>
      </c>
      <c r="L24" t="s">
        <v>86</v>
      </c>
      <c r="M24" t="s">
        <v>87</v>
      </c>
      <c r="N24" t="s">
        <v>258</v>
      </c>
      <c r="O24" t="s">
        <v>100</v>
      </c>
      <c r="P24" t="str">
        <f t="shared" si="0"/>
        <v xml:space="preserve">STORES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71.53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5</v>
      </c>
      <c r="BI24">
        <v>109.1</v>
      </c>
      <c r="BJ24">
        <v>113.7</v>
      </c>
      <c r="BK24">
        <v>114</v>
      </c>
      <c r="BL24">
        <v>380.93</v>
      </c>
      <c r="BM24">
        <v>57.14</v>
      </c>
      <c r="BN24">
        <v>438.07</v>
      </c>
      <c r="BO24">
        <v>438.07</v>
      </c>
      <c r="BQ24" t="s">
        <v>259</v>
      </c>
      <c r="BR24" t="s">
        <v>215</v>
      </c>
      <c r="BS24" t="s">
        <v>77</v>
      </c>
      <c r="BY24">
        <v>568596.96</v>
      </c>
      <c r="CC24" t="s">
        <v>87</v>
      </c>
      <c r="CD24">
        <v>4000</v>
      </c>
      <c r="CE24" t="s">
        <v>80</v>
      </c>
      <c r="CI24">
        <v>1</v>
      </c>
      <c r="CJ24" t="s">
        <v>77</v>
      </c>
      <c r="CK24" t="s">
        <v>102</v>
      </c>
      <c r="CL24" t="s">
        <v>79</v>
      </c>
    </row>
    <row r="25" spans="1:90" x14ac:dyDescent="0.25">
      <c r="A25" t="s">
        <v>211</v>
      </c>
      <c r="B25" t="s">
        <v>212</v>
      </c>
      <c r="C25" t="s">
        <v>72</v>
      </c>
      <c r="E25" t="str">
        <f>"009935501129"</f>
        <v>009935501129</v>
      </c>
      <c r="F25" s="2">
        <v>44315</v>
      </c>
      <c r="G25">
        <v>202110</v>
      </c>
      <c r="H25" t="s">
        <v>182</v>
      </c>
      <c r="I25" t="s">
        <v>183</v>
      </c>
      <c r="J25" t="s">
        <v>213</v>
      </c>
      <c r="K25" t="s">
        <v>73</v>
      </c>
      <c r="L25" t="s">
        <v>88</v>
      </c>
      <c r="M25" t="s">
        <v>89</v>
      </c>
      <c r="N25" t="s">
        <v>260</v>
      </c>
      <c r="O25" t="s">
        <v>100</v>
      </c>
      <c r="P25" t="str">
        <f t="shared" si="0"/>
        <v xml:space="preserve">STORES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48.6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6</v>
      </c>
      <c r="BI25">
        <v>46.2</v>
      </c>
      <c r="BJ25">
        <v>47.5</v>
      </c>
      <c r="BK25">
        <v>48</v>
      </c>
      <c r="BL25">
        <v>260.42</v>
      </c>
      <c r="BM25">
        <v>39.06</v>
      </c>
      <c r="BN25">
        <v>299.48</v>
      </c>
      <c r="BO25">
        <v>299.48</v>
      </c>
      <c r="BQ25" t="s">
        <v>103</v>
      </c>
      <c r="BR25" t="s">
        <v>215</v>
      </c>
      <c r="BS25" t="s">
        <v>77</v>
      </c>
      <c r="BY25">
        <v>237580.32</v>
      </c>
      <c r="CC25" t="s">
        <v>89</v>
      </c>
      <c r="CD25">
        <v>6055</v>
      </c>
      <c r="CE25" t="s">
        <v>80</v>
      </c>
      <c r="CI25">
        <v>2</v>
      </c>
      <c r="CJ25" t="s">
        <v>77</v>
      </c>
      <c r="CK25" t="s">
        <v>134</v>
      </c>
      <c r="CL25" t="s">
        <v>79</v>
      </c>
    </row>
    <row r="26" spans="1:90" x14ac:dyDescent="0.25">
      <c r="A26" t="s">
        <v>211</v>
      </c>
      <c r="B26" t="s">
        <v>212</v>
      </c>
      <c r="C26" t="s">
        <v>72</v>
      </c>
      <c r="E26" t="str">
        <f>"009940956780"</f>
        <v>009940956780</v>
      </c>
      <c r="F26" s="2">
        <v>44315</v>
      </c>
      <c r="G26">
        <v>202110</v>
      </c>
      <c r="H26" t="s">
        <v>182</v>
      </c>
      <c r="I26" t="s">
        <v>183</v>
      </c>
      <c r="J26" t="s">
        <v>213</v>
      </c>
      <c r="K26" t="s">
        <v>73</v>
      </c>
      <c r="L26" t="s">
        <v>98</v>
      </c>
      <c r="M26" t="s">
        <v>99</v>
      </c>
      <c r="N26" t="s">
        <v>213</v>
      </c>
      <c r="O26" t="s">
        <v>100</v>
      </c>
      <c r="P26" t="str">
        <f t="shared" si="0"/>
        <v xml:space="preserve">STORES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48.8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6</v>
      </c>
      <c r="BI26">
        <v>57.5</v>
      </c>
      <c r="BJ26">
        <v>59.7</v>
      </c>
      <c r="BK26">
        <v>60</v>
      </c>
      <c r="BL26">
        <v>261.45</v>
      </c>
      <c r="BM26">
        <v>39.22</v>
      </c>
      <c r="BN26">
        <v>300.67</v>
      </c>
      <c r="BO26">
        <v>300.67</v>
      </c>
      <c r="BQ26" t="s">
        <v>103</v>
      </c>
      <c r="BR26" t="s">
        <v>215</v>
      </c>
      <c r="BS26" t="s">
        <v>77</v>
      </c>
      <c r="BY26">
        <v>298695.34000000003</v>
      </c>
      <c r="CC26" t="s">
        <v>99</v>
      </c>
      <c r="CD26">
        <v>1034</v>
      </c>
      <c r="CE26" t="s">
        <v>80</v>
      </c>
      <c r="CI26">
        <v>1</v>
      </c>
      <c r="CJ26" t="s">
        <v>77</v>
      </c>
      <c r="CK26" t="s">
        <v>168</v>
      </c>
      <c r="CL26" t="s">
        <v>79</v>
      </c>
    </row>
    <row r="27" spans="1:90" x14ac:dyDescent="0.25">
      <c r="A27" t="s">
        <v>211</v>
      </c>
      <c r="B27" t="s">
        <v>212</v>
      </c>
      <c r="C27" t="s">
        <v>72</v>
      </c>
      <c r="E27" t="str">
        <f>"009940684698"</f>
        <v>009940684698</v>
      </c>
      <c r="F27" s="2">
        <v>44292</v>
      </c>
      <c r="G27">
        <v>202110</v>
      </c>
      <c r="H27" t="s">
        <v>199</v>
      </c>
      <c r="I27" t="s">
        <v>200</v>
      </c>
      <c r="J27" t="s">
        <v>213</v>
      </c>
      <c r="K27" t="s">
        <v>73</v>
      </c>
      <c r="L27" t="s">
        <v>74</v>
      </c>
      <c r="M27" t="s">
        <v>75</v>
      </c>
      <c r="N27" t="s">
        <v>213</v>
      </c>
      <c r="O27" t="s">
        <v>100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33.22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7</v>
      </c>
      <c r="BJ27">
        <v>46.2</v>
      </c>
      <c r="BK27">
        <v>47</v>
      </c>
      <c r="BL27">
        <v>208.56</v>
      </c>
      <c r="BM27">
        <v>31.28</v>
      </c>
      <c r="BN27">
        <v>239.84</v>
      </c>
      <c r="BO27">
        <v>239.84</v>
      </c>
      <c r="BQ27" t="s">
        <v>152</v>
      </c>
      <c r="BR27" t="s">
        <v>261</v>
      </c>
      <c r="BS27" s="2">
        <v>44293</v>
      </c>
      <c r="BT27" s="3">
        <v>0.375</v>
      </c>
      <c r="BU27" t="s">
        <v>115</v>
      </c>
      <c r="BV27" t="s">
        <v>90</v>
      </c>
      <c r="BY27">
        <v>231000</v>
      </c>
      <c r="CA27" t="s">
        <v>237</v>
      </c>
      <c r="CC27" t="s">
        <v>75</v>
      </c>
      <c r="CD27">
        <v>2196</v>
      </c>
      <c r="CE27" t="s">
        <v>80</v>
      </c>
      <c r="CF27" s="2">
        <v>44293</v>
      </c>
      <c r="CI27">
        <v>1</v>
      </c>
      <c r="CJ27">
        <v>1</v>
      </c>
      <c r="CK27" t="s">
        <v>168</v>
      </c>
      <c r="CL27" t="s">
        <v>79</v>
      </c>
    </row>
    <row r="28" spans="1:90" x14ac:dyDescent="0.25">
      <c r="A28" t="s">
        <v>211</v>
      </c>
      <c r="B28" t="s">
        <v>212</v>
      </c>
      <c r="C28" t="s">
        <v>72</v>
      </c>
      <c r="E28" t="str">
        <f>"009940653779"</f>
        <v>009940653779</v>
      </c>
      <c r="F28" s="2">
        <v>44294</v>
      </c>
      <c r="G28">
        <v>202110</v>
      </c>
      <c r="H28" t="s">
        <v>93</v>
      </c>
      <c r="I28" t="s">
        <v>94</v>
      </c>
      <c r="J28" t="s">
        <v>213</v>
      </c>
      <c r="K28" t="s">
        <v>73</v>
      </c>
      <c r="L28" t="s">
        <v>119</v>
      </c>
      <c r="M28" t="s">
        <v>120</v>
      </c>
      <c r="N28" t="s">
        <v>213</v>
      </c>
      <c r="O28" t="s">
        <v>100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19.8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2</v>
      </c>
      <c r="BI28">
        <v>9.9</v>
      </c>
      <c r="BJ28">
        <v>17.100000000000001</v>
      </c>
      <c r="BK28">
        <v>17</v>
      </c>
      <c r="BL28">
        <v>109.04</v>
      </c>
      <c r="BM28">
        <v>16.36</v>
      </c>
      <c r="BN28">
        <v>125.4</v>
      </c>
      <c r="BO28">
        <v>125.4</v>
      </c>
      <c r="BQ28" t="s">
        <v>262</v>
      </c>
      <c r="BR28" t="s">
        <v>263</v>
      </c>
      <c r="BS28" s="2">
        <v>44295</v>
      </c>
      <c r="BT28" s="3">
        <v>0.44444444444444442</v>
      </c>
      <c r="BU28" t="s">
        <v>136</v>
      </c>
      <c r="BV28" t="s">
        <v>90</v>
      </c>
      <c r="BY28">
        <v>85267.92</v>
      </c>
      <c r="CC28" t="s">
        <v>120</v>
      </c>
      <c r="CD28">
        <v>6530</v>
      </c>
      <c r="CE28" t="s">
        <v>80</v>
      </c>
      <c r="CF28" s="2">
        <v>44299</v>
      </c>
      <c r="CI28">
        <v>0</v>
      </c>
      <c r="CJ28">
        <v>0</v>
      </c>
      <c r="CK28" t="s">
        <v>168</v>
      </c>
      <c r="CL28" t="s">
        <v>79</v>
      </c>
    </row>
    <row r="29" spans="1:90" x14ac:dyDescent="0.25">
      <c r="A29" t="s">
        <v>211</v>
      </c>
      <c r="B29" t="s">
        <v>212</v>
      </c>
      <c r="C29" t="s">
        <v>72</v>
      </c>
      <c r="E29" t="str">
        <f>"009941027593"</f>
        <v>009941027593</v>
      </c>
      <c r="F29" s="2">
        <v>44293</v>
      </c>
      <c r="G29">
        <v>202110</v>
      </c>
      <c r="H29" t="s">
        <v>192</v>
      </c>
      <c r="I29" t="s">
        <v>193</v>
      </c>
      <c r="J29" t="s">
        <v>218</v>
      </c>
      <c r="K29" t="s">
        <v>73</v>
      </c>
      <c r="L29" t="s">
        <v>199</v>
      </c>
      <c r="M29" t="s">
        <v>200</v>
      </c>
      <c r="N29" t="s">
        <v>213</v>
      </c>
      <c r="O29" t="s">
        <v>100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14.03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0.5</v>
      </c>
      <c r="BJ29">
        <v>0.7</v>
      </c>
      <c r="BK29">
        <v>1</v>
      </c>
      <c r="BL29">
        <v>90.99</v>
      </c>
      <c r="BM29">
        <v>13.65</v>
      </c>
      <c r="BN29">
        <v>104.64</v>
      </c>
      <c r="BO29">
        <v>104.64</v>
      </c>
      <c r="BQ29" t="s">
        <v>264</v>
      </c>
      <c r="BR29" t="s">
        <v>265</v>
      </c>
      <c r="BS29" s="2">
        <v>44294</v>
      </c>
      <c r="BT29" s="3">
        <v>0.4375</v>
      </c>
      <c r="BU29" t="s">
        <v>264</v>
      </c>
      <c r="BV29" t="s">
        <v>90</v>
      </c>
      <c r="BY29">
        <v>3696</v>
      </c>
      <c r="CA29" t="s">
        <v>266</v>
      </c>
      <c r="CC29" t="s">
        <v>200</v>
      </c>
      <c r="CD29">
        <v>9300</v>
      </c>
      <c r="CE29" t="s">
        <v>92</v>
      </c>
      <c r="CF29" s="2">
        <v>44295</v>
      </c>
      <c r="CI29">
        <v>1</v>
      </c>
      <c r="CJ29">
        <v>1</v>
      </c>
      <c r="CK29" t="s">
        <v>101</v>
      </c>
      <c r="CL29" t="s">
        <v>79</v>
      </c>
    </row>
    <row r="30" spans="1:90" x14ac:dyDescent="0.25">
      <c r="A30" t="s">
        <v>211</v>
      </c>
      <c r="B30" t="s">
        <v>212</v>
      </c>
      <c r="C30" t="s">
        <v>72</v>
      </c>
      <c r="E30" t="str">
        <f>"009940776173"</f>
        <v>009940776173</v>
      </c>
      <c r="F30" s="2">
        <v>44293</v>
      </c>
      <c r="G30">
        <v>202110</v>
      </c>
      <c r="H30" t="s">
        <v>88</v>
      </c>
      <c r="I30" t="s">
        <v>89</v>
      </c>
      <c r="J30" t="s">
        <v>238</v>
      </c>
      <c r="K30" t="s">
        <v>73</v>
      </c>
      <c r="L30" t="s">
        <v>203</v>
      </c>
      <c r="M30" t="s">
        <v>204</v>
      </c>
      <c r="N30" t="s">
        <v>267</v>
      </c>
      <c r="O30" t="s">
        <v>100</v>
      </c>
      <c r="P30" t="str">
        <f>"JNB2104070222                 "</f>
        <v xml:space="preserve">JNB2104070222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19.899999999999999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126.96</v>
      </c>
      <c r="BM30">
        <v>19.04</v>
      </c>
      <c r="BN30">
        <v>146</v>
      </c>
      <c r="BO30">
        <v>146</v>
      </c>
      <c r="BQ30" t="s">
        <v>268</v>
      </c>
      <c r="BR30" t="s">
        <v>240</v>
      </c>
      <c r="BS30" s="2">
        <v>44302</v>
      </c>
      <c r="BT30" s="3">
        <v>0.51388888888888895</v>
      </c>
      <c r="BU30" t="s">
        <v>268</v>
      </c>
      <c r="BV30" t="s">
        <v>79</v>
      </c>
      <c r="BW30" t="s">
        <v>176</v>
      </c>
      <c r="BX30" t="s">
        <v>205</v>
      </c>
      <c r="BY30">
        <v>1200</v>
      </c>
      <c r="CC30" t="s">
        <v>204</v>
      </c>
      <c r="CD30">
        <v>8300</v>
      </c>
      <c r="CE30" t="s">
        <v>80</v>
      </c>
      <c r="CF30" s="2">
        <v>44302</v>
      </c>
      <c r="CI30">
        <v>2</v>
      </c>
      <c r="CJ30">
        <v>7</v>
      </c>
      <c r="CK30" t="s">
        <v>135</v>
      </c>
      <c r="CL30" t="s">
        <v>79</v>
      </c>
    </row>
    <row r="31" spans="1:90" x14ac:dyDescent="0.25">
      <c r="A31" t="s">
        <v>211</v>
      </c>
      <c r="B31" t="s">
        <v>212</v>
      </c>
      <c r="C31" t="s">
        <v>72</v>
      </c>
      <c r="E31" t="str">
        <f>"009940776172"</f>
        <v>009940776172</v>
      </c>
      <c r="F31" s="2">
        <v>44287</v>
      </c>
      <c r="G31">
        <v>202110</v>
      </c>
      <c r="H31" t="s">
        <v>88</v>
      </c>
      <c r="I31" t="s">
        <v>89</v>
      </c>
      <c r="J31" t="s">
        <v>238</v>
      </c>
      <c r="K31" t="s">
        <v>73</v>
      </c>
      <c r="L31" t="s">
        <v>269</v>
      </c>
      <c r="M31" t="s">
        <v>270</v>
      </c>
      <c r="N31" t="s">
        <v>271</v>
      </c>
      <c r="O31" t="s">
        <v>100</v>
      </c>
      <c r="P31" t="str">
        <f>"jnb2104010136                 "</f>
        <v xml:space="preserve">jnb2104010136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16.64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21</v>
      </c>
      <c r="BJ31">
        <v>15.1</v>
      </c>
      <c r="BK31">
        <v>21</v>
      </c>
      <c r="BL31">
        <v>106.98</v>
      </c>
      <c r="BM31">
        <v>16.05</v>
      </c>
      <c r="BN31">
        <v>123.03</v>
      </c>
      <c r="BO31">
        <v>123.03</v>
      </c>
      <c r="BQ31" t="s">
        <v>272</v>
      </c>
      <c r="BR31" t="s">
        <v>240</v>
      </c>
      <c r="BS31" s="2">
        <v>44292</v>
      </c>
      <c r="BT31" s="3">
        <v>0.51041666666666663</v>
      </c>
      <c r="BU31" t="s">
        <v>273</v>
      </c>
      <c r="BV31" t="s">
        <v>90</v>
      </c>
      <c r="BY31">
        <v>75600</v>
      </c>
      <c r="CC31" t="s">
        <v>270</v>
      </c>
      <c r="CD31">
        <v>5320</v>
      </c>
      <c r="CE31" t="s">
        <v>80</v>
      </c>
      <c r="CF31" s="2">
        <v>44294</v>
      </c>
      <c r="CI31">
        <v>7</v>
      </c>
      <c r="CJ31">
        <v>3</v>
      </c>
      <c r="CK31" t="s">
        <v>101</v>
      </c>
      <c r="CL31" t="s">
        <v>79</v>
      </c>
    </row>
    <row r="32" spans="1:90" x14ac:dyDescent="0.25">
      <c r="A32" t="s">
        <v>211</v>
      </c>
      <c r="B32" t="s">
        <v>212</v>
      </c>
      <c r="C32" t="s">
        <v>72</v>
      </c>
      <c r="E32" t="str">
        <f>"009940177488"</f>
        <v>009940177488</v>
      </c>
      <c r="F32" s="2">
        <v>44294</v>
      </c>
      <c r="G32">
        <v>202110</v>
      </c>
      <c r="H32" t="s">
        <v>108</v>
      </c>
      <c r="I32" t="s">
        <v>109</v>
      </c>
      <c r="J32" t="s">
        <v>213</v>
      </c>
      <c r="K32" t="s">
        <v>73</v>
      </c>
      <c r="L32" t="s">
        <v>194</v>
      </c>
      <c r="M32" t="s">
        <v>195</v>
      </c>
      <c r="N32" t="s">
        <v>274</v>
      </c>
      <c r="O32" t="s">
        <v>100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23.98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4</v>
      </c>
      <c r="BJ32">
        <v>5</v>
      </c>
      <c r="BK32">
        <v>5</v>
      </c>
      <c r="BL32">
        <v>131.04</v>
      </c>
      <c r="BM32">
        <v>19.66</v>
      </c>
      <c r="BN32">
        <v>150.69999999999999</v>
      </c>
      <c r="BO32">
        <v>150.69999999999999</v>
      </c>
      <c r="BQ32" t="s">
        <v>243</v>
      </c>
      <c r="BR32" t="s">
        <v>242</v>
      </c>
      <c r="BS32" s="2">
        <v>44295</v>
      </c>
      <c r="BT32" s="3">
        <v>0.4597222222222222</v>
      </c>
      <c r="BU32" t="s">
        <v>157</v>
      </c>
      <c r="BV32" t="s">
        <v>90</v>
      </c>
      <c r="BY32">
        <v>25116</v>
      </c>
      <c r="CC32" t="s">
        <v>195</v>
      </c>
      <c r="CD32">
        <v>2745</v>
      </c>
      <c r="CE32" t="s">
        <v>80</v>
      </c>
      <c r="CF32" s="2">
        <v>44299</v>
      </c>
      <c r="CI32">
        <v>1</v>
      </c>
      <c r="CJ32">
        <v>1</v>
      </c>
      <c r="CK32" t="s">
        <v>135</v>
      </c>
      <c r="CL32" t="s">
        <v>79</v>
      </c>
    </row>
    <row r="33" spans="1:90" x14ac:dyDescent="0.25">
      <c r="A33" t="s">
        <v>211</v>
      </c>
      <c r="B33" t="s">
        <v>212</v>
      </c>
      <c r="C33" t="s">
        <v>72</v>
      </c>
      <c r="E33" t="str">
        <f>"009940276066"</f>
        <v>009940276066</v>
      </c>
      <c r="F33" s="2">
        <v>44293</v>
      </c>
      <c r="G33">
        <v>202110</v>
      </c>
      <c r="H33" t="s">
        <v>203</v>
      </c>
      <c r="I33" t="s">
        <v>204</v>
      </c>
      <c r="J33" t="s">
        <v>275</v>
      </c>
      <c r="K33" t="s">
        <v>73</v>
      </c>
      <c r="L33" t="s">
        <v>88</v>
      </c>
      <c r="M33" t="s">
        <v>89</v>
      </c>
      <c r="N33" t="s">
        <v>276</v>
      </c>
      <c r="O33" t="s">
        <v>100</v>
      </c>
      <c r="P33" t="str">
        <f>"RETURN PARTS BOX              "</f>
        <v xml:space="preserve">RETURN PARTS BOX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53.94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40</v>
      </c>
      <c r="BJ33">
        <v>43.4</v>
      </c>
      <c r="BK33">
        <v>44</v>
      </c>
      <c r="BL33">
        <v>335.58</v>
      </c>
      <c r="BM33">
        <v>50.34</v>
      </c>
      <c r="BN33">
        <v>385.92</v>
      </c>
      <c r="BO33">
        <v>385.92</v>
      </c>
      <c r="BQ33" t="s">
        <v>149</v>
      </c>
      <c r="BR33" t="s">
        <v>268</v>
      </c>
      <c r="BS33" s="2">
        <v>44298</v>
      </c>
      <c r="BT33" s="3">
        <v>0.55972222222222223</v>
      </c>
      <c r="BU33" t="s">
        <v>277</v>
      </c>
      <c r="BV33" t="s">
        <v>90</v>
      </c>
      <c r="BY33">
        <v>216810</v>
      </c>
      <c r="CA33" t="s">
        <v>122</v>
      </c>
      <c r="CC33" t="s">
        <v>89</v>
      </c>
      <c r="CD33">
        <v>6001</v>
      </c>
      <c r="CE33" t="s">
        <v>278</v>
      </c>
      <c r="CF33" s="2">
        <v>44298</v>
      </c>
      <c r="CI33">
        <v>3</v>
      </c>
      <c r="CJ33">
        <v>3</v>
      </c>
      <c r="CK33" t="s">
        <v>217</v>
      </c>
      <c r="CL33" t="s">
        <v>79</v>
      </c>
    </row>
    <row r="34" spans="1:90" x14ac:dyDescent="0.25">
      <c r="A34" t="s">
        <v>211</v>
      </c>
      <c r="B34" t="s">
        <v>212</v>
      </c>
      <c r="C34" t="s">
        <v>72</v>
      </c>
      <c r="E34" t="str">
        <f>"009940463735"</f>
        <v>009940463735</v>
      </c>
      <c r="F34" s="2">
        <v>44287</v>
      </c>
      <c r="G34">
        <v>202110</v>
      </c>
      <c r="H34" t="s">
        <v>203</v>
      </c>
      <c r="I34" t="s">
        <v>204</v>
      </c>
      <c r="J34" t="s">
        <v>213</v>
      </c>
      <c r="K34" t="s">
        <v>73</v>
      </c>
      <c r="L34" t="s">
        <v>74</v>
      </c>
      <c r="M34" t="s">
        <v>75</v>
      </c>
      <c r="N34" t="s">
        <v>213</v>
      </c>
      <c r="O34" t="s">
        <v>100</v>
      </c>
      <c r="P34" t="str">
        <f>"ATM SOLUTIONS                 "</f>
        <v xml:space="preserve">ATM SOLUTIONS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302.41000000000003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360</v>
      </c>
      <c r="BJ34">
        <v>528</v>
      </c>
      <c r="BK34">
        <v>528</v>
      </c>
      <c r="BL34">
        <v>1858.22</v>
      </c>
      <c r="BM34">
        <v>278.73</v>
      </c>
      <c r="BN34">
        <v>2136.9499999999998</v>
      </c>
      <c r="BO34">
        <v>2136.9499999999998</v>
      </c>
      <c r="BQ34" t="s">
        <v>279</v>
      </c>
      <c r="BR34" t="s">
        <v>268</v>
      </c>
      <c r="BS34" s="2">
        <v>44293</v>
      </c>
      <c r="BT34" s="3">
        <v>0.375</v>
      </c>
      <c r="BU34" t="s">
        <v>115</v>
      </c>
      <c r="BV34" t="s">
        <v>79</v>
      </c>
      <c r="BW34" t="s">
        <v>114</v>
      </c>
      <c r="BX34" t="s">
        <v>118</v>
      </c>
      <c r="BY34">
        <v>880000</v>
      </c>
      <c r="CA34" t="s">
        <v>237</v>
      </c>
      <c r="CC34" t="s">
        <v>75</v>
      </c>
      <c r="CD34">
        <v>2196</v>
      </c>
      <c r="CE34" t="s">
        <v>280</v>
      </c>
      <c r="CF34" s="2">
        <v>44293</v>
      </c>
      <c r="CI34">
        <v>1</v>
      </c>
      <c r="CJ34">
        <v>4</v>
      </c>
      <c r="CK34" t="s">
        <v>168</v>
      </c>
      <c r="CL34" t="s">
        <v>79</v>
      </c>
    </row>
    <row r="35" spans="1:90" x14ac:dyDescent="0.25">
      <c r="A35" t="s">
        <v>211</v>
      </c>
      <c r="B35" t="s">
        <v>212</v>
      </c>
      <c r="C35" t="s">
        <v>72</v>
      </c>
      <c r="E35" t="str">
        <f>"009940026785"</f>
        <v>009940026785</v>
      </c>
      <c r="F35" s="2">
        <v>44287</v>
      </c>
      <c r="G35">
        <v>202110</v>
      </c>
      <c r="H35" t="s">
        <v>182</v>
      </c>
      <c r="I35" t="s">
        <v>183</v>
      </c>
      <c r="J35" t="s">
        <v>213</v>
      </c>
      <c r="K35" t="s">
        <v>73</v>
      </c>
      <c r="L35" t="s">
        <v>281</v>
      </c>
      <c r="M35" t="s">
        <v>282</v>
      </c>
      <c r="N35" t="s">
        <v>283</v>
      </c>
      <c r="O35" t="s">
        <v>100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22.25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9.6</v>
      </c>
      <c r="BJ35">
        <v>17</v>
      </c>
      <c r="BK35">
        <v>17</v>
      </c>
      <c r="BL35">
        <v>141.35</v>
      </c>
      <c r="BM35">
        <v>21.2</v>
      </c>
      <c r="BN35">
        <v>162.55000000000001</v>
      </c>
      <c r="BO35">
        <v>162.55000000000001</v>
      </c>
      <c r="BQ35" t="s">
        <v>284</v>
      </c>
      <c r="BR35" t="s">
        <v>103</v>
      </c>
      <c r="BS35" s="2">
        <v>44292</v>
      </c>
      <c r="BT35" s="3">
        <v>0.68055555555555547</v>
      </c>
      <c r="BU35" t="s">
        <v>141</v>
      </c>
      <c r="BV35" t="s">
        <v>90</v>
      </c>
      <c r="BY35">
        <v>85044.54</v>
      </c>
      <c r="CA35" t="s">
        <v>285</v>
      </c>
      <c r="CC35" t="s">
        <v>282</v>
      </c>
      <c r="CD35">
        <v>1150</v>
      </c>
      <c r="CE35" t="s">
        <v>80</v>
      </c>
      <c r="CF35" s="2">
        <v>44292</v>
      </c>
      <c r="CI35">
        <v>0</v>
      </c>
      <c r="CJ35">
        <v>0</v>
      </c>
      <c r="CK35" t="s">
        <v>217</v>
      </c>
      <c r="CL35" t="s">
        <v>79</v>
      </c>
    </row>
    <row r="36" spans="1:90" x14ac:dyDescent="0.25">
      <c r="A36" t="s">
        <v>211</v>
      </c>
      <c r="B36" t="s">
        <v>212</v>
      </c>
      <c r="C36" t="s">
        <v>72</v>
      </c>
      <c r="E36" t="str">
        <f>"009940957386"</f>
        <v>009940957386</v>
      </c>
      <c r="F36" s="2">
        <v>44292</v>
      </c>
      <c r="G36">
        <v>202110</v>
      </c>
      <c r="H36" t="s">
        <v>182</v>
      </c>
      <c r="I36" t="s">
        <v>183</v>
      </c>
      <c r="J36" t="s">
        <v>213</v>
      </c>
      <c r="K36" t="s">
        <v>73</v>
      </c>
      <c r="L36" t="s">
        <v>133</v>
      </c>
      <c r="M36" t="s">
        <v>94</v>
      </c>
      <c r="N36" t="s">
        <v>283</v>
      </c>
      <c r="O36" t="s">
        <v>100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151.97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5</v>
      </c>
      <c r="BI36">
        <v>156.5</v>
      </c>
      <c r="BJ36">
        <v>204</v>
      </c>
      <c r="BK36">
        <v>204</v>
      </c>
      <c r="BL36">
        <v>936.31</v>
      </c>
      <c r="BM36">
        <v>140.44999999999999</v>
      </c>
      <c r="BN36">
        <v>1076.76</v>
      </c>
      <c r="BO36">
        <v>1076.76</v>
      </c>
      <c r="BQ36" t="s">
        <v>263</v>
      </c>
      <c r="BR36" t="s">
        <v>215</v>
      </c>
      <c r="BS36" s="2">
        <v>44294</v>
      </c>
      <c r="BT36" s="3">
        <v>0.3666666666666667</v>
      </c>
      <c r="BU36" t="s">
        <v>138</v>
      </c>
      <c r="BV36" t="s">
        <v>90</v>
      </c>
      <c r="BY36">
        <v>1020199.47</v>
      </c>
      <c r="CA36" t="s">
        <v>226</v>
      </c>
      <c r="CC36" t="s">
        <v>94</v>
      </c>
      <c r="CD36">
        <v>8000</v>
      </c>
      <c r="CE36" t="s">
        <v>80</v>
      </c>
      <c r="CF36" s="2">
        <v>44295</v>
      </c>
      <c r="CI36">
        <v>2</v>
      </c>
      <c r="CJ36">
        <v>2</v>
      </c>
      <c r="CK36" t="s">
        <v>134</v>
      </c>
      <c r="CL36" t="s">
        <v>79</v>
      </c>
    </row>
    <row r="37" spans="1:90" x14ac:dyDescent="0.25">
      <c r="A37" t="s">
        <v>211</v>
      </c>
      <c r="B37" t="s">
        <v>212</v>
      </c>
      <c r="C37" t="s">
        <v>72</v>
      </c>
      <c r="E37" t="str">
        <f>"009940746382"</f>
        <v>009940746382</v>
      </c>
      <c r="F37" s="2">
        <v>44292</v>
      </c>
      <c r="G37">
        <v>202110</v>
      </c>
      <c r="H37" t="s">
        <v>93</v>
      </c>
      <c r="I37" t="s">
        <v>94</v>
      </c>
      <c r="J37" t="s">
        <v>213</v>
      </c>
      <c r="K37" t="s">
        <v>73</v>
      </c>
      <c r="L37" t="s">
        <v>182</v>
      </c>
      <c r="M37" t="s">
        <v>183</v>
      </c>
      <c r="N37" t="s">
        <v>213</v>
      </c>
      <c r="O37" t="s">
        <v>100</v>
      </c>
      <c r="P37" t="str">
        <f>"                              "</f>
        <v xml:space="preserve"> 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71.099999999999994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2</v>
      </c>
      <c r="BI37">
        <v>85.1</v>
      </c>
      <c r="BJ37">
        <v>90.9</v>
      </c>
      <c r="BK37">
        <v>91</v>
      </c>
      <c r="BL37">
        <v>440.73</v>
      </c>
      <c r="BM37">
        <v>66.11</v>
      </c>
      <c r="BN37">
        <v>506.84</v>
      </c>
      <c r="BO37">
        <v>506.84</v>
      </c>
      <c r="BQ37" t="s">
        <v>286</v>
      </c>
      <c r="BR37" t="s">
        <v>263</v>
      </c>
      <c r="BS37" s="2">
        <v>44294</v>
      </c>
      <c r="BT37" s="3">
        <v>0.3611111111111111</v>
      </c>
      <c r="BU37" t="s">
        <v>115</v>
      </c>
      <c r="BV37" t="s">
        <v>90</v>
      </c>
      <c r="BY37">
        <v>454686.8</v>
      </c>
      <c r="CA37" t="s">
        <v>237</v>
      </c>
      <c r="CC37" t="s">
        <v>183</v>
      </c>
      <c r="CD37">
        <v>2146</v>
      </c>
      <c r="CE37" t="s">
        <v>80</v>
      </c>
      <c r="CF37" s="2">
        <v>44294</v>
      </c>
      <c r="CI37">
        <v>2</v>
      </c>
      <c r="CJ37">
        <v>2</v>
      </c>
      <c r="CK37" t="s">
        <v>134</v>
      </c>
      <c r="CL37" t="s">
        <v>79</v>
      </c>
    </row>
    <row r="38" spans="1:90" x14ac:dyDescent="0.25">
      <c r="A38" t="s">
        <v>211</v>
      </c>
      <c r="B38" t="s">
        <v>212</v>
      </c>
      <c r="C38" t="s">
        <v>72</v>
      </c>
      <c r="E38" t="str">
        <f>"009939616926"</f>
        <v>009939616926</v>
      </c>
      <c r="F38" s="2">
        <v>44287</v>
      </c>
      <c r="G38">
        <v>202110</v>
      </c>
      <c r="H38" t="s">
        <v>182</v>
      </c>
      <c r="I38" t="s">
        <v>183</v>
      </c>
      <c r="J38" t="s">
        <v>213</v>
      </c>
      <c r="K38" t="s">
        <v>73</v>
      </c>
      <c r="L38" t="s">
        <v>287</v>
      </c>
      <c r="M38" t="s">
        <v>288</v>
      </c>
      <c r="N38" t="s">
        <v>213</v>
      </c>
      <c r="O38" t="s">
        <v>100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22.25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5.5</v>
      </c>
      <c r="BJ38">
        <v>16.7</v>
      </c>
      <c r="BK38">
        <v>17</v>
      </c>
      <c r="BL38">
        <v>141.35</v>
      </c>
      <c r="BM38">
        <v>21.2</v>
      </c>
      <c r="BN38">
        <v>162.55000000000001</v>
      </c>
      <c r="BO38">
        <v>162.55000000000001</v>
      </c>
      <c r="BQ38" t="s">
        <v>289</v>
      </c>
      <c r="BR38" t="s">
        <v>215</v>
      </c>
      <c r="BS38" s="2">
        <v>44292</v>
      </c>
      <c r="BT38" s="3">
        <v>0.42499999999999999</v>
      </c>
      <c r="BU38" t="s">
        <v>290</v>
      </c>
      <c r="BV38" t="s">
        <v>90</v>
      </c>
      <c r="BY38">
        <v>83717.570000000007</v>
      </c>
      <c r="CA38" t="s">
        <v>291</v>
      </c>
      <c r="CC38" t="s">
        <v>288</v>
      </c>
      <c r="CD38">
        <v>8600</v>
      </c>
      <c r="CE38" t="s">
        <v>80</v>
      </c>
      <c r="CF38" s="2">
        <v>44299</v>
      </c>
      <c r="CI38">
        <v>1</v>
      </c>
      <c r="CJ38">
        <v>3</v>
      </c>
      <c r="CK38" t="s">
        <v>217</v>
      </c>
      <c r="CL38" t="s">
        <v>79</v>
      </c>
    </row>
    <row r="39" spans="1:90" x14ac:dyDescent="0.25">
      <c r="A39" t="s">
        <v>211</v>
      </c>
      <c r="B39" t="s">
        <v>212</v>
      </c>
      <c r="C39" t="s">
        <v>72</v>
      </c>
      <c r="E39" t="str">
        <f>"009940957385"</f>
        <v>009940957385</v>
      </c>
      <c r="F39" s="2">
        <v>44287</v>
      </c>
      <c r="G39">
        <v>202110</v>
      </c>
      <c r="H39" t="s">
        <v>182</v>
      </c>
      <c r="I39" t="s">
        <v>183</v>
      </c>
      <c r="J39" t="s">
        <v>213</v>
      </c>
      <c r="K39" t="s">
        <v>73</v>
      </c>
      <c r="L39" t="s">
        <v>133</v>
      </c>
      <c r="M39" t="s">
        <v>94</v>
      </c>
      <c r="N39" t="s">
        <v>257</v>
      </c>
      <c r="O39" t="s">
        <v>100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16.71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5.8</v>
      </c>
      <c r="BJ39">
        <v>8.1</v>
      </c>
      <c r="BK39">
        <v>8</v>
      </c>
      <c r="BL39">
        <v>107.42</v>
      </c>
      <c r="BM39">
        <v>16.11</v>
      </c>
      <c r="BN39">
        <v>123.53</v>
      </c>
      <c r="BO39">
        <v>123.53</v>
      </c>
      <c r="BQ39" t="s">
        <v>103</v>
      </c>
      <c r="BR39" t="s">
        <v>215</v>
      </c>
      <c r="BS39" s="2">
        <v>44292</v>
      </c>
      <c r="BT39" s="3">
        <v>0.41666666666666669</v>
      </c>
      <c r="BU39" t="s">
        <v>292</v>
      </c>
      <c r="BV39" t="s">
        <v>90</v>
      </c>
      <c r="BY39">
        <v>40256.480000000003</v>
      </c>
      <c r="CA39" t="s">
        <v>293</v>
      </c>
      <c r="CC39" t="s">
        <v>94</v>
      </c>
      <c r="CD39">
        <v>8000</v>
      </c>
      <c r="CE39" t="s">
        <v>80</v>
      </c>
      <c r="CF39" s="2">
        <v>44293</v>
      </c>
      <c r="CI39">
        <v>2</v>
      </c>
      <c r="CJ39">
        <v>3</v>
      </c>
      <c r="CK39" t="s">
        <v>134</v>
      </c>
      <c r="CL39" t="s">
        <v>79</v>
      </c>
    </row>
    <row r="40" spans="1:90" x14ac:dyDescent="0.25">
      <c r="A40" t="s">
        <v>211</v>
      </c>
      <c r="B40" t="s">
        <v>212</v>
      </c>
      <c r="C40" t="s">
        <v>72</v>
      </c>
      <c r="E40" t="str">
        <f>"009940990294"</f>
        <v>009940990294</v>
      </c>
      <c r="F40" s="2">
        <v>44292</v>
      </c>
      <c r="G40">
        <v>202110</v>
      </c>
      <c r="H40" t="s">
        <v>82</v>
      </c>
      <c r="I40" t="s">
        <v>83</v>
      </c>
      <c r="J40" t="s">
        <v>213</v>
      </c>
      <c r="K40" t="s">
        <v>73</v>
      </c>
      <c r="L40" t="s">
        <v>88</v>
      </c>
      <c r="M40" t="s">
        <v>89</v>
      </c>
      <c r="N40" t="s">
        <v>213</v>
      </c>
      <c r="O40" t="s">
        <v>100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27.95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47</v>
      </c>
      <c r="BJ40">
        <v>22.3</v>
      </c>
      <c r="BK40">
        <v>47</v>
      </c>
      <c r="BL40">
        <v>176.27</v>
      </c>
      <c r="BM40">
        <v>26.44</v>
      </c>
      <c r="BN40">
        <v>202.71</v>
      </c>
      <c r="BO40">
        <v>202.71</v>
      </c>
      <c r="BQ40" t="s">
        <v>124</v>
      </c>
      <c r="BR40" t="s">
        <v>239</v>
      </c>
      <c r="BS40" s="2">
        <v>44294</v>
      </c>
      <c r="BT40" s="3">
        <v>0.37777777777777777</v>
      </c>
      <c r="BU40" t="s">
        <v>294</v>
      </c>
      <c r="BV40" t="s">
        <v>79</v>
      </c>
      <c r="BW40" t="s">
        <v>105</v>
      </c>
      <c r="BX40" t="s">
        <v>117</v>
      </c>
      <c r="BY40">
        <v>111320</v>
      </c>
      <c r="CA40" t="s">
        <v>295</v>
      </c>
      <c r="CC40" t="s">
        <v>89</v>
      </c>
      <c r="CD40">
        <v>6000</v>
      </c>
      <c r="CE40" t="s">
        <v>80</v>
      </c>
      <c r="CF40" s="2">
        <v>44294</v>
      </c>
      <c r="CI40">
        <v>1</v>
      </c>
      <c r="CJ40">
        <v>2</v>
      </c>
      <c r="CK40" t="s">
        <v>101</v>
      </c>
      <c r="CL40" t="s">
        <v>79</v>
      </c>
    </row>
    <row r="41" spans="1:90" x14ac:dyDescent="0.25">
      <c r="A41" t="s">
        <v>211</v>
      </c>
      <c r="B41" t="s">
        <v>212</v>
      </c>
      <c r="C41" t="s">
        <v>72</v>
      </c>
      <c r="E41" t="str">
        <f>"009940177486"</f>
        <v>009940177486</v>
      </c>
      <c r="F41" s="2">
        <v>44294</v>
      </c>
      <c r="G41">
        <v>202110</v>
      </c>
      <c r="H41" t="s">
        <v>108</v>
      </c>
      <c r="I41" t="s">
        <v>109</v>
      </c>
      <c r="J41" t="s">
        <v>213</v>
      </c>
      <c r="K41" t="s">
        <v>73</v>
      </c>
      <c r="L41" t="s">
        <v>74</v>
      </c>
      <c r="M41" t="s">
        <v>75</v>
      </c>
      <c r="N41" t="s">
        <v>213</v>
      </c>
      <c r="O41" t="s">
        <v>100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19.53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20</v>
      </c>
      <c r="BJ41">
        <v>17.899999999999999</v>
      </c>
      <c r="BK41">
        <v>20</v>
      </c>
      <c r="BL41">
        <v>107.64</v>
      </c>
      <c r="BM41">
        <v>16.149999999999999</v>
      </c>
      <c r="BN41">
        <v>123.79</v>
      </c>
      <c r="BO41">
        <v>123.79</v>
      </c>
      <c r="BQ41" t="s">
        <v>169</v>
      </c>
      <c r="BR41" t="s">
        <v>242</v>
      </c>
      <c r="BS41" s="2">
        <v>44295</v>
      </c>
      <c r="BT41" s="3">
        <v>0.3666666666666667</v>
      </c>
      <c r="BU41" t="s">
        <v>115</v>
      </c>
      <c r="BV41" t="s">
        <v>90</v>
      </c>
      <c r="BY41">
        <v>89676</v>
      </c>
      <c r="CA41" t="s">
        <v>237</v>
      </c>
      <c r="CC41" t="s">
        <v>75</v>
      </c>
      <c r="CD41">
        <v>2196</v>
      </c>
      <c r="CE41" t="s">
        <v>92</v>
      </c>
      <c r="CF41" s="2">
        <v>44296</v>
      </c>
      <c r="CI41">
        <v>1</v>
      </c>
      <c r="CJ41">
        <v>1</v>
      </c>
      <c r="CK41" t="s">
        <v>101</v>
      </c>
      <c r="CL41" t="s">
        <v>79</v>
      </c>
    </row>
    <row r="42" spans="1:90" x14ac:dyDescent="0.25">
      <c r="A42" t="s">
        <v>211</v>
      </c>
      <c r="B42" t="s">
        <v>212</v>
      </c>
      <c r="C42" t="s">
        <v>72</v>
      </c>
      <c r="E42" t="str">
        <f>"009941107001"</f>
        <v>009941107001</v>
      </c>
      <c r="F42" s="2">
        <v>44292</v>
      </c>
      <c r="G42">
        <v>202110</v>
      </c>
      <c r="H42" t="s">
        <v>147</v>
      </c>
      <c r="I42" t="s">
        <v>148</v>
      </c>
      <c r="J42" t="s">
        <v>249</v>
      </c>
      <c r="K42" t="s">
        <v>73</v>
      </c>
      <c r="L42" t="s">
        <v>108</v>
      </c>
      <c r="M42" t="s">
        <v>109</v>
      </c>
      <c r="N42" t="s">
        <v>213</v>
      </c>
      <c r="O42" t="s">
        <v>100</v>
      </c>
      <c r="P42" t="str">
        <f>"                              "</f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16.579999999999998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7</v>
      </c>
      <c r="BJ42">
        <v>10.6</v>
      </c>
      <c r="BK42">
        <v>11</v>
      </c>
      <c r="BL42">
        <v>106.62</v>
      </c>
      <c r="BM42">
        <v>15.99</v>
      </c>
      <c r="BN42">
        <v>122.61</v>
      </c>
      <c r="BO42">
        <v>122.61</v>
      </c>
      <c r="BQ42" t="s">
        <v>296</v>
      </c>
      <c r="BR42" t="s">
        <v>297</v>
      </c>
      <c r="BS42" s="2">
        <v>44293</v>
      </c>
      <c r="BT42" s="3">
        <v>0.42152777777777778</v>
      </c>
      <c r="BU42" t="s">
        <v>244</v>
      </c>
      <c r="BV42" t="s">
        <v>90</v>
      </c>
      <c r="BY42">
        <v>52780</v>
      </c>
      <c r="CA42" t="s">
        <v>158</v>
      </c>
      <c r="CC42" t="s">
        <v>109</v>
      </c>
      <c r="CD42">
        <v>300</v>
      </c>
      <c r="CE42" t="s">
        <v>80</v>
      </c>
      <c r="CF42" s="2">
        <v>44293</v>
      </c>
      <c r="CI42">
        <v>1</v>
      </c>
      <c r="CJ42">
        <v>1</v>
      </c>
      <c r="CK42" t="s">
        <v>131</v>
      </c>
      <c r="CL42" t="s">
        <v>79</v>
      </c>
    </row>
    <row r="43" spans="1:90" x14ac:dyDescent="0.25">
      <c r="A43" t="s">
        <v>211</v>
      </c>
      <c r="B43" t="s">
        <v>212</v>
      </c>
      <c r="C43" t="s">
        <v>72</v>
      </c>
      <c r="E43" t="str">
        <f>"009940177489"</f>
        <v>009940177489</v>
      </c>
      <c r="F43" s="2">
        <v>44294</v>
      </c>
      <c r="G43">
        <v>202110</v>
      </c>
      <c r="H43" t="s">
        <v>108</v>
      </c>
      <c r="I43" t="s">
        <v>109</v>
      </c>
      <c r="J43" t="s">
        <v>213</v>
      </c>
      <c r="K43" t="s">
        <v>73</v>
      </c>
      <c r="L43" t="s">
        <v>287</v>
      </c>
      <c r="M43" t="s">
        <v>288</v>
      </c>
      <c r="N43" t="s">
        <v>213</v>
      </c>
      <c r="O43" t="s">
        <v>100</v>
      </c>
      <c r="P43" t="str">
        <f>"                              "</f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67.84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31</v>
      </c>
      <c r="BJ43">
        <v>46.1</v>
      </c>
      <c r="BK43">
        <v>46</v>
      </c>
      <c r="BL43">
        <v>361.52</v>
      </c>
      <c r="BM43">
        <v>54.23</v>
      </c>
      <c r="BN43">
        <v>415.75</v>
      </c>
      <c r="BO43">
        <v>415.75</v>
      </c>
      <c r="BQ43" t="s">
        <v>289</v>
      </c>
      <c r="BR43" t="s">
        <v>242</v>
      </c>
      <c r="BS43" s="2">
        <v>44295</v>
      </c>
      <c r="BT43" s="3">
        <v>0.45833333333333331</v>
      </c>
      <c r="BU43" t="s">
        <v>290</v>
      </c>
      <c r="BV43" t="s">
        <v>90</v>
      </c>
      <c r="BY43">
        <v>230400</v>
      </c>
      <c r="CA43" t="s">
        <v>291</v>
      </c>
      <c r="CC43" t="s">
        <v>288</v>
      </c>
      <c r="CD43">
        <v>8600</v>
      </c>
      <c r="CE43" t="s">
        <v>80</v>
      </c>
      <c r="CF43" s="2">
        <v>44299</v>
      </c>
      <c r="CI43">
        <v>1</v>
      </c>
      <c r="CJ43">
        <v>1</v>
      </c>
      <c r="CK43" t="s">
        <v>135</v>
      </c>
      <c r="CL43" t="s">
        <v>79</v>
      </c>
    </row>
    <row r="44" spans="1:90" x14ac:dyDescent="0.25">
      <c r="A44" t="s">
        <v>211</v>
      </c>
      <c r="B44" t="s">
        <v>212</v>
      </c>
      <c r="C44" t="s">
        <v>72</v>
      </c>
      <c r="E44" t="str">
        <f>"009940885766"</f>
        <v>009940885766</v>
      </c>
      <c r="F44" s="2">
        <v>44294</v>
      </c>
      <c r="G44">
        <v>202110</v>
      </c>
      <c r="H44" t="s">
        <v>171</v>
      </c>
      <c r="I44" t="s">
        <v>172</v>
      </c>
      <c r="J44" t="s">
        <v>298</v>
      </c>
      <c r="K44" t="s">
        <v>73</v>
      </c>
      <c r="L44" t="s">
        <v>182</v>
      </c>
      <c r="M44" t="s">
        <v>183</v>
      </c>
      <c r="N44" t="s">
        <v>213</v>
      </c>
      <c r="O44" t="s">
        <v>100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18.45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101.95</v>
      </c>
      <c r="BM44">
        <v>15.29</v>
      </c>
      <c r="BN44">
        <v>117.24</v>
      </c>
      <c r="BO44">
        <v>117.24</v>
      </c>
      <c r="BQ44" t="s">
        <v>299</v>
      </c>
      <c r="BR44" t="s">
        <v>300</v>
      </c>
      <c r="BS44" s="2">
        <v>44295</v>
      </c>
      <c r="BT44" s="3">
        <v>0.40208333333333335</v>
      </c>
      <c r="BU44" t="s">
        <v>301</v>
      </c>
      <c r="BV44" t="s">
        <v>90</v>
      </c>
      <c r="BY44">
        <v>1200</v>
      </c>
      <c r="CA44" t="s">
        <v>132</v>
      </c>
      <c r="CC44" t="s">
        <v>183</v>
      </c>
      <c r="CD44">
        <v>2146</v>
      </c>
      <c r="CE44" t="s">
        <v>80</v>
      </c>
      <c r="CF44" s="2">
        <v>44296</v>
      </c>
      <c r="CI44">
        <v>1</v>
      </c>
      <c r="CJ44">
        <v>1</v>
      </c>
      <c r="CK44" t="s">
        <v>168</v>
      </c>
      <c r="CL44" t="s">
        <v>79</v>
      </c>
    </row>
    <row r="45" spans="1:90" x14ac:dyDescent="0.25">
      <c r="A45" t="s">
        <v>211</v>
      </c>
      <c r="B45" t="s">
        <v>212</v>
      </c>
      <c r="C45" t="s">
        <v>72</v>
      </c>
      <c r="E45" t="str">
        <f>"009941094071"</f>
        <v>009941094071</v>
      </c>
      <c r="F45" s="2">
        <v>44293</v>
      </c>
      <c r="G45">
        <v>202110</v>
      </c>
      <c r="H45" t="s">
        <v>86</v>
      </c>
      <c r="I45" t="s">
        <v>87</v>
      </c>
      <c r="J45" t="s">
        <v>302</v>
      </c>
      <c r="K45" t="s">
        <v>73</v>
      </c>
      <c r="L45" t="s">
        <v>84</v>
      </c>
      <c r="M45" t="s">
        <v>85</v>
      </c>
      <c r="N45" t="s">
        <v>303</v>
      </c>
      <c r="O45" t="s">
        <v>91</v>
      </c>
      <c r="P45" t="str">
        <f>"PVT                           "</f>
        <v xml:space="preserve">PVT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15.31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0.7</v>
      </c>
      <c r="BK45">
        <v>1</v>
      </c>
      <c r="BL45">
        <v>93.81</v>
      </c>
      <c r="BM45">
        <v>14.07</v>
      </c>
      <c r="BN45">
        <v>107.88</v>
      </c>
      <c r="BO45">
        <v>107.88</v>
      </c>
      <c r="BQ45" t="s">
        <v>304</v>
      </c>
      <c r="BR45" t="s">
        <v>305</v>
      </c>
      <c r="BS45" s="2">
        <v>44294</v>
      </c>
      <c r="BT45" s="3">
        <v>0.72083333333333333</v>
      </c>
      <c r="BU45" t="s">
        <v>306</v>
      </c>
      <c r="BV45" t="s">
        <v>79</v>
      </c>
      <c r="BW45" t="s">
        <v>121</v>
      </c>
      <c r="BX45" t="s">
        <v>137</v>
      </c>
      <c r="BY45">
        <v>3600</v>
      </c>
      <c r="BZ45" t="s">
        <v>144</v>
      </c>
      <c r="CA45" t="s">
        <v>104</v>
      </c>
      <c r="CC45" t="s">
        <v>85</v>
      </c>
      <c r="CD45">
        <v>2125</v>
      </c>
      <c r="CE45" t="s">
        <v>80</v>
      </c>
      <c r="CF45" s="2">
        <v>44295</v>
      </c>
      <c r="CI45">
        <v>1</v>
      </c>
      <c r="CJ45">
        <v>1</v>
      </c>
      <c r="CK45">
        <v>31</v>
      </c>
      <c r="CL45" t="s">
        <v>79</v>
      </c>
    </row>
    <row r="46" spans="1:90" x14ac:dyDescent="0.25">
      <c r="A46" t="s">
        <v>211</v>
      </c>
      <c r="B46" t="s">
        <v>212</v>
      </c>
      <c r="C46" t="s">
        <v>72</v>
      </c>
      <c r="E46" t="str">
        <f>"009941094070"</f>
        <v>009941094070</v>
      </c>
      <c r="F46" s="2">
        <v>44293</v>
      </c>
      <c r="G46">
        <v>202110</v>
      </c>
      <c r="H46" t="s">
        <v>86</v>
      </c>
      <c r="I46" t="s">
        <v>87</v>
      </c>
      <c r="J46" t="s">
        <v>302</v>
      </c>
      <c r="K46" t="s">
        <v>73</v>
      </c>
      <c r="L46" t="s">
        <v>96</v>
      </c>
      <c r="M46" t="s">
        <v>97</v>
      </c>
      <c r="N46" t="s">
        <v>307</v>
      </c>
      <c r="O46" t="s">
        <v>91</v>
      </c>
      <c r="P46" t="str">
        <f>"PVT                           "</f>
        <v xml:space="preserve">PVT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15.31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1.3</v>
      </c>
      <c r="BJ46">
        <v>1</v>
      </c>
      <c r="BK46">
        <v>2</v>
      </c>
      <c r="BL46">
        <v>93.81</v>
      </c>
      <c r="BM46">
        <v>14.07</v>
      </c>
      <c r="BN46">
        <v>107.88</v>
      </c>
      <c r="BO46">
        <v>107.88</v>
      </c>
      <c r="BQ46" t="s">
        <v>308</v>
      </c>
      <c r="BR46" t="s">
        <v>305</v>
      </c>
      <c r="BS46" s="2">
        <v>44294</v>
      </c>
      <c r="BT46" s="3">
        <v>0.5131944444444444</v>
      </c>
      <c r="BU46" t="s">
        <v>309</v>
      </c>
      <c r="BV46" t="s">
        <v>90</v>
      </c>
      <c r="BY46">
        <v>4800</v>
      </c>
      <c r="BZ46" t="s">
        <v>144</v>
      </c>
      <c r="CA46" t="s">
        <v>174</v>
      </c>
      <c r="CC46" t="s">
        <v>97</v>
      </c>
      <c r="CD46">
        <v>1682</v>
      </c>
      <c r="CE46" t="s">
        <v>80</v>
      </c>
      <c r="CF46" s="2">
        <v>44294</v>
      </c>
      <c r="CI46">
        <v>1</v>
      </c>
      <c r="CJ46">
        <v>1</v>
      </c>
      <c r="CK46">
        <v>31</v>
      </c>
      <c r="CL46" t="s">
        <v>79</v>
      </c>
    </row>
    <row r="47" spans="1:90" x14ac:dyDescent="0.25">
      <c r="A47" t="s">
        <v>211</v>
      </c>
      <c r="B47" t="s">
        <v>212</v>
      </c>
      <c r="C47" t="s">
        <v>72</v>
      </c>
      <c r="E47" t="str">
        <f>"009940684699"</f>
        <v>009940684699</v>
      </c>
      <c r="F47" s="2">
        <v>44292</v>
      </c>
      <c r="G47">
        <v>202110</v>
      </c>
      <c r="H47" t="s">
        <v>199</v>
      </c>
      <c r="I47" t="s">
        <v>200</v>
      </c>
      <c r="J47" t="s">
        <v>213</v>
      </c>
      <c r="K47" t="s">
        <v>73</v>
      </c>
      <c r="L47" t="s">
        <v>74</v>
      </c>
      <c r="M47" t="s">
        <v>75</v>
      </c>
      <c r="N47" t="s">
        <v>213</v>
      </c>
      <c r="O47" t="s">
        <v>100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15.31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98.81</v>
      </c>
      <c r="BM47">
        <v>14.82</v>
      </c>
      <c r="BN47">
        <v>113.63</v>
      </c>
      <c r="BO47">
        <v>113.63</v>
      </c>
      <c r="BQ47" t="s">
        <v>130</v>
      </c>
      <c r="BR47" t="s">
        <v>261</v>
      </c>
      <c r="BS47" s="2">
        <v>44293</v>
      </c>
      <c r="BT47" s="3">
        <v>0.41805555555555557</v>
      </c>
      <c r="BU47" t="s">
        <v>310</v>
      </c>
      <c r="BV47" t="s">
        <v>90</v>
      </c>
      <c r="BY47">
        <v>1200</v>
      </c>
      <c r="CA47" t="s">
        <v>132</v>
      </c>
      <c r="CC47" t="s">
        <v>75</v>
      </c>
      <c r="CD47">
        <v>2196</v>
      </c>
      <c r="CE47" t="s">
        <v>80</v>
      </c>
      <c r="CF47" s="2">
        <v>44293</v>
      </c>
      <c r="CI47">
        <v>1</v>
      </c>
      <c r="CJ47">
        <v>1</v>
      </c>
      <c r="CK47" t="s">
        <v>168</v>
      </c>
      <c r="CL47" t="s">
        <v>79</v>
      </c>
    </row>
    <row r="48" spans="1:90" x14ac:dyDescent="0.25">
      <c r="A48" t="s">
        <v>211</v>
      </c>
      <c r="B48" t="s">
        <v>212</v>
      </c>
      <c r="C48" t="s">
        <v>72</v>
      </c>
      <c r="E48" t="str">
        <f>"009940563949"</f>
        <v>009940563949</v>
      </c>
      <c r="F48" s="2">
        <v>44293</v>
      </c>
      <c r="G48">
        <v>202110</v>
      </c>
      <c r="H48" t="s">
        <v>182</v>
      </c>
      <c r="I48" t="s">
        <v>183</v>
      </c>
      <c r="J48" t="s">
        <v>213</v>
      </c>
      <c r="K48" t="s">
        <v>73</v>
      </c>
      <c r="L48" t="s">
        <v>171</v>
      </c>
      <c r="M48" t="s">
        <v>172</v>
      </c>
      <c r="N48" t="s">
        <v>213</v>
      </c>
      <c r="O48" t="s">
        <v>100</v>
      </c>
      <c r="P48" t="str">
        <f t="shared" ref="P48:P63" si="1"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31.31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36.4</v>
      </c>
      <c r="BJ48">
        <v>55.3</v>
      </c>
      <c r="BK48">
        <v>56</v>
      </c>
      <c r="BL48">
        <v>196.87</v>
      </c>
      <c r="BM48">
        <v>29.53</v>
      </c>
      <c r="BN48">
        <v>226.4</v>
      </c>
      <c r="BO48">
        <v>226.4</v>
      </c>
      <c r="BQ48" t="s">
        <v>103</v>
      </c>
      <c r="BR48" t="s">
        <v>235</v>
      </c>
      <c r="BS48" s="2">
        <v>44294</v>
      </c>
      <c r="BT48" s="3">
        <v>0.4375</v>
      </c>
      <c r="BU48" t="s">
        <v>170</v>
      </c>
      <c r="BV48" t="s">
        <v>90</v>
      </c>
      <c r="BY48">
        <v>276282.98</v>
      </c>
      <c r="CA48" t="s">
        <v>225</v>
      </c>
      <c r="CC48" t="s">
        <v>172</v>
      </c>
      <c r="CD48">
        <v>699</v>
      </c>
      <c r="CE48" t="s">
        <v>80</v>
      </c>
      <c r="CF48" s="2">
        <v>44294</v>
      </c>
      <c r="CI48">
        <v>1</v>
      </c>
      <c r="CJ48">
        <v>1</v>
      </c>
      <c r="CK48" t="s">
        <v>187</v>
      </c>
      <c r="CL48" t="s">
        <v>79</v>
      </c>
    </row>
    <row r="49" spans="1:90" x14ac:dyDescent="0.25">
      <c r="A49" t="s">
        <v>211</v>
      </c>
      <c r="B49" t="s">
        <v>212</v>
      </c>
      <c r="C49" t="s">
        <v>72</v>
      </c>
      <c r="E49" t="str">
        <f>"009935998621"</f>
        <v>009935998621</v>
      </c>
      <c r="F49" s="2">
        <v>44293</v>
      </c>
      <c r="G49">
        <v>202110</v>
      </c>
      <c r="H49" t="s">
        <v>182</v>
      </c>
      <c r="I49" t="s">
        <v>183</v>
      </c>
      <c r="J49" t="s">
        <v>213</v>
      </c>
      <c r="K49" t="s">
        <v>73</v>
      </c>
      <c r="L49" t="s">
        <v>199</v>
      </c>
      <c r="M49" t="s">
        <v>200</v>
      </c>
      <c r="N49" t="s">
        <v>213</v>
      </c>
      <c r="O49" t="s">
        <v>100</v>
      </c>
      <c r="P49" t="str">
        <f t="shared" si="1"/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28.41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32.700000000000003</v>
      </c>
      <c r="BJ49">
        <v>50</v>
      </c>
      <c r="BK49">
        <v>50</v>
      </c>
      <c r="BL49">
        <v>179.09</v>
      </c>
      <c r="BM49">
        <v>26.86</v>
      </c>
      <c r="BN49">
        <v>205.95</v>
      </c>
      <c r="BO49">
        <v>205.95</v>
      </c>
      <c r="BQ49" t="s">
        <v>264</v>
      </c>
      <c r="BR49" t="s">
        <v>235</v>
      </c>
      <c r="BS49" s="2">
        <v>44294</v>
      </c>
      <c r="BT49" s="3">
        <v>0.4375</v>
      </c>
      <c r="BU49" t="s">
        <v>264</v>
      </c>
      <c r="BV49" t="s">
        <v>90</v>
      </c>
      <c r="BY49">
        <v>249834.99</v>
      </c>
      <c r="CA49" t="s">
        <v>266</v>
      </c>
      <c r="CC49" t="s">
        <v>200</v>
      </c>
      <c r="CD49">
        <v>9301</v>
      </c>
      <c r="CE49" t="s">
        <v>80</v>
      </c>
      <c r="CF49" s="2">
        <v>44295</v>
      </c>
      <c r="CI49">
        <v>1</v>
      </c>
      <c r="CJ49">
        <v>1</v>
      </c>
      <c r="CK49" t="s">
        <v>187</v>
      </c>
      <c r="CL49" t="s">
        <v>79</v>
      </c>
    </row>
    <row r="50" spans="1:90" x14ac:dyDescent="0.25">
      <c r="A50" t="s">
        <v>211</v>
      </c>
      <c r="B50" t="s">
        <v>212</v>
      </c>
      <c r="C50" t="s">
        <v>72</v>
      </c>
      <c r="E50" t="str">
        <f>"009940227610"</f>
        <v>009940227610</v>
      </c>
      <c r="F50" s="2">
        <v>44294</v>
      </c>
      <c r="G50">
        <v>202110</v>
      </c>
      <c r="H50" t="s">
        <v>182</v>
      </c>
      <c r="I50" t="s">
        <v>183</v>
      </c>
      <c r="J50" t="s">
        <v>213</v>
      </c>
      <c r="K50" t="s">
        <v>73</v>
      </c>
      <c r="L50" t="s">
        <v>194</v>
      </c>
      <c r="M50" t="s">
        <v>195</v>
      </c>
      <c r="N50" t="s">
        <v>283</v>
      </c>
      <c r="O50" t="s">
        <v>76</v>
      </c>
      <c r="P50" t="str">
        <f t="shared" si="1"/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23.37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2.2999999999999998</v>
      </c>
      <c r="BK50">
        <v>2.5</v>
      </c>
      <c r="BL50">
        <v>122.81</v>
      </c>
      <c r="BM50">
        <v>18.420000000000002</v>
      </c>
      <c r="BN50">
        <v>141.22999999999999</v>
      </c>
      <c r="BO50">
        <v>141.22999999999999</v>
      </c>
      <c r="BQ50" t="s">
        <v>103</v>
      </c>
      <c r="BR50" t="s">
        <v>103</v>
      </c>
      <c r="BS50" s="2">
        <v>44295</v>
      </c>
      <c r="BT50" s="3">
        <v>0.41666666666666669</v>
      </c>
      <c r="BU50" t="s">
        <v>157</v>
      </c>
      <c r="BV50" t="s">
        <v>90</v>
      </c>
      <c r="BY50">
        <v>11432.15</v>
      </c>
      <c r="BZ50" t="s">
        <v>95</v>
      </c>
      <c r="CC50" t="s">
        <v>195</v>
      </c>
      <c r="CD50">
        <v>2745</v>
      </c>
      <c r="CE50" t="s">
        <v>80</v>
      </c>
      <c r="CF50" s="2">
        <v>44299</v>
      </c>
      <c r="CI50">
        <v>1</v>
      </c>
      <c r="CJ50">
        <v>1</v>
      </c>
      <c r="CK50">
        <v>23</v>
      </c>
      <c r="CL50" t="s">
        <v>79</v>
      </c>
    </row>
    <row r="51" spans="1:90" x14ac:dyDescent="0.25">
      <c r="A51" t="s">
        <v>211</v>
      </c>
      <c r="B51" t="s">
        <v>212</v>
      </c>
      <c r="C51" t="s">
        <v>72</v>
      </c>
      <c r="E51" t="str">
        <f>"009940350130"</f>
        <v>009940350130</v>
      </c>
      <c r="F51" s="2">
        <v>44294</v>
      </c>
      <c r="G51">
        <v>202110</v>
      </c>
      <c r="H51" t="s">
        <v>182</v>
      </c>
      <c r="I51" t="s">
        <v>183</v>
      </c>
      <c r="J51" t="s">
        <v>218</v>
      </c>
      <c r="K51" t="s">
        <v>73</v>
      </c>
      <c r="L51" t="s">
        <v>192</v>
      </c>
      <c r="M51" t="s">
        <v>193</v>
      </c>
      <c r="N51" t="s">
        <v>213</v>
      </c>
      <c r="O51" t="s">
        <v>76</v>
      </c>
      <c r="P51" t="str">
        <f t="shared" si="1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27.67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1.2</v>
      </c>
      <c r="BJ51">
        <v>2.9</v>
      </c>
      <c r="BK51">
        <v>3</v>
      </c>
      <c r="BL51">
        <v>145.43</v>
      </c>
      <c r="BM51">
        <v>21.81</v>
      </c>
      <c r="BN51">
        <v>167.24</v>
      </c>
      <c r="BO51">
        <v>167.24</v>
      </c>
      <c r="BQ51" t="s">
        <v>103</v>
      </c>
      <c r="BR51" t="s">
        <v>311</v>
      </c>
      <c r="BS51" s="2">
        <v>44295</v>
      </c>
      <c r="BT51" s="3">
        <v>0.41666666666666669</v>
      </c>
      <c r="BU51" t="s">
        <v>129</v>
      </c>
      <c r="BV51" t="s">
        <v>90</v>
      </c>
      <c r="BY51">
        <v>14285.57</v>
      </c>
      <c r="BZ51" t="s">
        <v>81</v>
      </c>
      <c r="CC51" t="s">
        <v>193</v>
      </c>
      <c r="CD51">
        <v>9459</v>
      </c>
      <c r="CE51" t="s">
        <v>80</v>
      </c>
      <c r="CF51" s="2">
        <v>44295</v>
      </c>
      <c r="CI51">
        <v>1</v>
      </c>
      <c r="CJ51">
        <v>1</v>
      </c>
      <c r="CK51">
        <v>23</v>
      </c>
      <c r="CL51" t="s">
        <v>79</v>
      </c>
    </row>
    <row r="52" spans="1:90" x14ac:dyDescent="0.25">
      <c r="A52" t="s">
        <v>211</v>
      </c>
      <c r="B52" t="s">
        <v>212</v>
      </c>
      <c r="C52" t="s">
        <v>72</v>
      </c>
      <c r="E52" t="str">
        <f>"009940090584"</f>
        <v>009940090584</v>
      </c>
      <c r="F52" s="2">
        <v>44294</v>
      </c>
      <c r="G52">
        <v>202110</v>
      </c>
      <c r="H52" t="s">
        <v>182</v>
      </c>
      <c r="I52" t="s">
        <v>183</v>
      </c>
      <c r="J52" t="s">
        <v>213</v>
      </c>
      <c r="K52" t="s">
        <v>73</v>
      </c>
      <c r="L52" t="s">
        <v>229</v>
      </c>
      <c r="M52" t="s">
        <v>230</v>
      </c>
      <c r="N52" t="s">
        <v>213</v>
      </c>
      <c r="O52" t="s">
        <v>76</v>
      </c>
      <c r="P52" t="str">
        <f t="shared" si="1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23.37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1.4</v>
      </c>
      <c r="BJ52">
        <v>2.1</v>
      </c>
      <c r="BK52">
        <v>2.5</v>
      </c>
      <c r="BL52">
        <v>122.81</v>
      </c>
      <c r="BM52">
        <v>18.420000000000002</v>
      </c>
      <c r="BN52">
        <v>141.22999999999999</v>
      </c>
      <c r="BO52">
        <v>141.22999999999999</v>
      </c>
      <c r="BQ52" t="s">
        <v>103</v>
      </c>
      <c r="BR52" t="s">
        <v>215</v>
      </c>
      <c r="BS52" s="2">
        <v>44295</v>
      </c>
      <c r="BT52" s="3">
        <v>0.37222222222222223</v>
      </c>
      <c r="BU52" t="s">
        <v>107</v>
      </c>
      <c r="BV52" t="s">
        <v>90</v>
      </c>
      <c r="BY52">
        <v>10660.18</v>
      </c>
      <c r="BZ52" t="s">
        <v>95</v>
      </c>
      <c r="CA52" t="s">
        <v>312</v>
      </c>
      <c r="CC52" t="s">
        <v>230</v>
      </c>
      <c r="CD52">
        <v>450</v>
      </c>
      <c r="CE52" t="s">
        <v>80</v>
      </c>
      <c r="CF52" s="2">
        <v>44295</v>
      </c>
      <c r="CI52">
        <v>1</v>
      </c>
      <c r="CJ52">
        <v>1</v>
      </c>
      <c r="CK52">
        <v>23</v>
      </c>
      <c r="CL52" t="s">
        <v>79</v>
      </c>
    </row>
    <row r="53" spans="1:90" x14ac:dyDescent="0.25">
      <c r="A53" t="s">
        <v>211</v>
      </c>
      <c r="B53" t="s">
        <v>212</v>
      </c>
      <c r="C53" t="s">
        <v>72</v>
      </c>
      <c r="E53" t="str">
        <f>"009940026787"</f>
        <v>009940026787</v>
      </c>
      <c r="F53" s="2">
        <v>44294</v>
      </c>
      <c r="G53">
        <v>202110</v>
      </c>
      <c r="H53" t="s">
        <v>182</v>
      </c>
      <c r="I53" t="s">
        <v>183</v>
      </c>
      <c r="J53" t="s">
        <v>213</v>
      </c>
      <c r="K53" t="s">
        <v>73</v>
      </c>
      <c r="L53" t="s">
        <v>159</v>
      </c>
      <c r="M53" t="s">
        <v>160</v>
      </c>
      <c r="N53" t="s">
        <v>313</v>
      </c>
      <c r="O53" t="s">
        <v>100</v>
      </c>
      <c r="P53" t="str">
        <f t="shared" si="1"/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16.91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5.7</v>
      </c>
      <c r="BJ53">
        <v>3.6</v>
      </c>
      <c r="BK53">
        <v>6</v>
      </c>
      <c r="BL53">
        <v>93.87</v>
      </c>
      <c r="BM53">
        <v>14.08</v>
      </c>
      <c r="BN53">
        <v>107.95</v>
      </c>
      <c r="BO53">
        <v>107.95</v>
      </c>
      <c r="BQ53" t="s">
        <v>103</v>
      </c>
      <c r="BR53" t="s">
        <v>120</v>
      </c>
      <c r="BS53" s="2">
        <v>44295</v>
      </c>
      <c r="BT53" s="3">
        <v>0.34375</v>
      </c>
      <c r="BU53" t="s">
        <v>314</v>
      </c>
      <c r="BV53" t="s">
        <v>90</v>
      </c>
      <c r="BY53">
        <v>17751.759999999998</v>
      </c>
      <c r="CA53" t="s">
        <v>128</v>
      </c>
      <c r="CC53" t="s">
        <v>160</v>
      </c>
      <c r="CD53">
        <v>46</v>
      </c>
      <c r="CE53" t="s">
        <v>80</v>
      </c>
      <c r="CF53" s="2">
        <v>44295</v>
      </c>
      <c r="CI53">
        <v>0</v>
      </c>
      <c r="CJ53">
        <v>0</v>
      </c>
      <c r="CK53" t="s">
        <v>101</v>
      </c>
      <c r="CL53" t="s">
        <v>79</v>
      </c>
    </row>
    <row r="54" spans="1:90" x14ac:dyDescent="0.25">
      <c r="A54" t="s">
        <v>211</v>
      </c>
      <c r="B54" t="s">
        <v>212</v>
      </c>
      <c r="C54" t="s">
        <v>72</v>
      </c>
      <c r="E54" t="str">
        <f>"009940957396"</f>
        <v>009940957396</v>
      </c>
      <c r="F54" s="2">
        <v>44294</v>
      </c>
      <c r="G54">
        <v>202110</v>
      </c>
      <c r="H54" t="s">
        <v>182</v>
      </c>
      <c r="I54" t="s">
        <v>183</v>
      </c>
      <c r="J54" t="s">
        <v>213</v>
      </c>
      <c r="K54" t="s">
        <v>73</v>
      </c>
      <c r="L54" t="s">
        <v>133</v>
      </c>
      <c r="M54" t="s">
        <v>94</v>
      </c>
      <c r="N54" t="s">
        <v>213</v>
      </c>
      <c r="O54" t="s">
        <v>100</v>
      </c>
      <c r="P54" t="str">
        <f t="shared" si="1"/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21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2</v>
      </c>
      <c r="BI54">
        <v>15.5</v>
      </c>
      <c r="BJ54">
        <v>15.5</v>
      </c>
      <c r="BK54">
        <v>16</v>
      </c>
      <c r="BL54">
        <v>115.38</v>
      </c>
      <c r="BM54">
        <v>17.309999999999999</v>
      </c>
      <c r="BN54">
        <v>132.69</v>
      </c>
      <c r="BO54">
        <v>132.69</v>
      </c>
      <c r="BQ54" t="s">
        <v>103</v>
      </c>
      <c r="BR54" t="s">
        <v>103</v>
      </c>
      <c r="BS54" s="2">
        <v>44298</v>
      </c>
      <c r="BT54" s="3">
        <v>0.4201388888888889</v>
      </c>
      <c r="BU54" t="s">
        <v>292</v>
      </c>
      <c r="BV54" t="s">
        <v>90</v>
      </c>
      <c r="BY54">
        <v>77516.479999999996</v>
      </c>
      <c r="CA54" t="s">
        <v>226</v>
      </c>
      <c r="CC54" t="s">
        <v>94</v>
      </c>
      <c r="CD54">
        <v>8000</v>
      </c>
      <c r="CE54" t="s">
        <v>80</v>
      </c>
      <c r="CF54" s="2">
        <v>44299</v>
      </c>
      <c r="CI54">
        <v>2</v>
      </c>
      <c r="CJ54">
        <v>2</v>
      </c>
      <c r="CK54" t="s">
        <v>134</v>
      </c>
      <c r="CL54" t="s">
        <v>79</v>
      </c>
    </row>
    <row r="55" spans="1:90" x14ac:dyDescent="0.25">
      <c r="A55" t="s">
        <v>211</v>
      </c>
      <c r="B55" t="s">
        <v>212</v>
      </c>
      <c r="C55" t="s">
        <v>72</v>
      </c>
      <c r="E55" t="str">
        <f>"009935501136"</f>
        <v>009935501136</v>
      </c>
      <c r="F55" s="2">
        <v>44294</v>
      </c>
      <c r="G55">
        <v>202110</v>
      </c>
      <c r="H55" t="s">
        <v>182</v>
      </c>
      <c r="I55" t="s">
        <v>183</v>
      </c>
      <c r="J55" t="s">
        <v>213</v>
      </c>
      <c r="K55" t="s">
        <v>73</v>
      </c>
      <c r="L55" t="s">
        <v>88</v>
      </c>
      <c r="M55" t="s">
        <v>89</v>
      </c>
      <c r="N55" t="s">
        <v>315</v>
      </c>
      <c r="O55" t="s">
        <v>100</v>
      </c>
      <c r="P55" t="str">
        <f t="shared" si="1"/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25.32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15.7</v>
      </c>
      <c r="BJ55">
        <v>20.2</v>
      </c>
      <c r="BK55">
        <v>21</v>
      </c>
      <c r="BL55">
        <v>138.05000000000001</v>
      </c>
      <c r="BM55">
        <v>20.71</v>
      </c>
      <c r="BN55">
        <v>158.76</v>
      </c>
      <c r="BO55">
        <v>158.76</v>
      </c>
      <c r="BQ55" t="s">
        <v>103</v>
      </c>
      <c r="BR55" t="s">
        <v>235</v>
      </c>
      <c r="BS55" s="2">
        <v>44298</v>
      </c>
      <c r="BT55" s="3">
        <v>0.55972222222222223</v>
      </c>
      <c r="BU55" t="s">
        <v>277</v>
      </c>
      <c r="BV55" t="s">
        <v>90</v>
      </c>
      <c r="BY55">
        <v>101242</v>
      </c>
      <c r="CA55" t="s">
        <v>122</v>
      </c>
      <c r="CC55" t="s">
        <v>89</v>
      </c>
      <c r="CD55">
        <v>6045</v>
      </c>
      <c r="CE55" t="s">
        <v>80</v>
      </c>
      <c r="CF55" s="2">
        <v>44298</v>
      </c>
      <c r="CI55">
        <v>2</v>
      </c>
      <c r="CJ55">
        <v>2</v>
      </c>
      <c r="CK55" t="s">
        <v>134</v>
      </c>
      <c r="CL55" t="s">
        <v>79</v>
      </c>
    </row>
    <row r="56" spans="1:90" x14ac:dyDescent="0.25">
      <c r="A56" t="s">
        <v>211</v>
      </c>
      <c r="B56" t="s">
        <v>212</v>
      </c>
      <c r="C56" t="s">
        <v>72</v>
      </c>
      <c r="E56" t="str">
        <f>"009940350120"</f>
        <v>009940350120</v>
      </c>
      <c r="F56" s="2">
        <v>44294</v>
      </c>
      <c r="G56">
        <v>202110</v>
      </c>
      <c r="H56" t="s">
        <v>182</v>
      </c>
      <c r="I56" t="s">
        <v>183</v>
      </c>
      <c r="J56" t="s">
        <v>213</v>
      </c>
      <c r="K56" t="s">
        <v>73</v>
      </c>
      <c r="L56" t="s">
        <v>185</v>
      </c>
      <c r="M56" t="s">
        <v>186</v>
      </c>
      <c r="N56" t="s">
        <v>256</v>
      </c>
      <c r="O56" t="s">
        <v>100</v>
      </c>
      <c r="P56" t="str">
        <f t="shared" si="1"/>
        <v xml:space="preserve">STORES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20.14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2.2000000000000002</v>
      </c>
      <c r="BJ56">
        <v>4.5999999999999996</v>
      </c>
      <c r="BK56">
        <v>5</v>
      </c>
      <c r="BL56">
        <v>110.85</v>
      </c>
      <c r="BM56">
        <v>16.63</v>
      </c>
      <c r="BN56">
        <v>127.48</v>
      </c>
      <c r="BO56">
        <v>127.48</v>
      </c>
      <c r="BQ56" t="s">
        <v>316</v>
      </c>
      <c r="BR56" t="s">
        <v>103</v>
      </c>
      <c r="BS56" s="2">
        <v>44298</v>
      </c>
      <c r="BT56" s="3">
        <v>0.375</v>
      </c>
      <c r="BU56" t="s">
        <v>317</v>
      </c>
      <c r="BV56" t="s">
        <v>90</v>
      </c>
      <c r="BY56">
        <v>23067.33</v>
      </c>
      <c r="CC56" t="s">
        <v>186</v>
      </c>
      <c r="CD56">
        <v>3900</v>
      </c>
      <c r="CE56" t="s">
        <v>80</v>
      </c>
      <c r="CF56" s="2">
        <v>44301</v>
      </c>
      <c r="CI56">
        <v>2</v>
      </c>
      <c r="CJ56">
        <v>2</v>
      </c>
      <c r="CK56" t="s">
        <v>146</v>
      </c>
      <c r="CL56" t="s">
        <v>79</v>
      </c>
    </row>
    <row r="57" spans="1:90" x14ac:dyDescent="0.25">
      <c r="A57" t="s">
        <v>211</v>
      </c>
      <c r="B57" t="s">
        <v>212</v>
      </c>
      <c r="C57" t="s">
        <v>72</v>
      </c>
      <c r="E57" t="str">
        <f>"009940956804"</f>
        <v>009940956804</v>
      </c>
      <c r="F57" s="2">
        <v>44294</v>
      </c>
      <c r="G57">
        <v>202110</v>
      </c>
      <c r="H57" t="s">
        <v>182</v>
      </c>
      <c r="I57" t="s">
        <v>183</v>
      </c>
      <c r="J57" t="s">
        <v>213</v>
      </c>
      <c r="K57" t="s">
        <v>73</v>
      </c>
      <c r="L57" t="s">
        <v>98</v>
      </c>
      <c r="M57" t="s">
        <v>99</v>
      </c>
      <c r="N57" t="s">
        <v>213</v>
      </c>
      <c r="O57" t="s">
        <v>100</v>
      </c>
      <c r="P57" t="str">
        <f t="shared" si="1"/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21.82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3</v>
      </c>
      <c r="BI57">
        <v>16.8</v>
      </c>
      <c r="BJ57">
        <v>19.5</v>
      </c>
      <c r="BK57">
        <v>20</v>
      </c>
      <c r="BL57">
        <v>119.67</v>
      </c>
      <c r="BM57">
        <v>17.95</v>
      </c>
      <c r="BN57">
        <v>137.62</v>
      </c>
      <c r="BO57">
        <v>137.62</v>
      </c>
      <c r="BQ57" t="s">
        <v>103</v>
      </c>
      <c r="BR57" t="s">
        <v>103</v>
      </c>
      <c r="BS57" s="2">
        <v>44295</v>
      </c>
      <c r="BT57" s="3">
        <v>0.35694444444444445</v>
      </c>
      <c r="BU57" t="s">
        <v>318</v>
      </c>
      <c r="BV57" t="s">
        <v>90</v>
      </c>
      <c r="BY57">
        <v>97449.87</v>
      </c>
      <c r="CA57" t="s">
        <v>319</v>
      </c>
      <c r="CC57" t="s">
        <v>99</v>
      </c>
      <c r="CD57">
        <v>1034</v>
      </c>
      <c r="CE57" t="s">
        <v>80</v>
      </c>
      <c r="CF57" s="2">
        <v>44295</v>
      </c>
      <c r="CI57">
        <v>1</v>
      </c>
      <c r="CJ57">
        <v>1</v>
      </c>
      <c r="CK57" t="s">
        <v>168</v>
      </c>
      <c r="CL57" t="s">
        <v>79</v>
      </c>
    </row>
    <row r="58" spans="1:90" x14ac:dyDescent="0.25">
      <c r="A58" t="s">
        <v>211</v>
      </c>
      <c r="B58" t="s">
        <v>212</v>
      </c>
      <c r="C58" t="s">
        <v>72</v>
      </c>
      <c r="E58" t="str">
        <f>"009940956608"</f>
        <v>009940956608</v>
      </c>
      <c r="F58" s="2">
        <v>44294</v>
      </c>
      <c r="G58">
        <v>202110</v>
      </c>
      <c r="H58" t="s">
        <v>182</v>
      </c>
      <c r="I58" t="s">
        <v>183</v>
      </c>
      <c r="J58" t="s">
        <v>213</v>
      </c>
      <c r="K58" t="s">
        <v>73</v>
      </c>
      <c r="L58" t="s">
        <v>108</v>
      </c>
      <c r="M58" t="s">
        <v>109</v>
      </c>
      <c r="N58" t="s">
        <v>283</v>
      </c>
      <c r="O58" t="s">
        <v>100</v>
      </c>
      <c r="P58" t="str">
        <f t="shared" si="1"/>
        <v xml:space="preserve">STORES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29.91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4</v>
      </c>
      <c r="BI58">
        <v>23.3</v>
      </c>
      <c r="BJ58">
        <v>31.4</v>
      </c>
      <c r="BK58">
        <v>32</v>
      </c>
      <c r="BL58">
        <v>162.19999999999999</v>
      </c>
      <c r="BM58">
        <v>24.33</v>
      </c>
      <c r="BN58">
        <v>186.53</v>
      </c>
      <c r="BO58">
        <v>186.53</v>
      </c>
      <c r="BQ58" t="s">
        <v>103</v>
      </c>
      <c r="BR58" t="s">
        <v>235</v>
      </c>
      <c r="BS58" s="2">
        <v>44295</v>
      </c>
      <c r="BT58" s="3">
        <v>0.375</v>
      </c>
      <c r="BU58" t="s">
        <v>244</v>
      </c>
      <c r="BV58" t="s">
        <v>90</v>
      </c>
      <c r="BY58">
        <v>157030.14000000001</v>
      </c>
      <c r="CA58" t="s">
        <v>158</v>
      </c>
      <c r="CC58" t="s">
        <v>109</v>
      </c>
      <c r="CD58">
        <v>299</v>
      </c>
      <c r="CE58" t="s">
        <v>80</v>
      </c>
      <c r="CF58" s="2">
        <v>44295</v>
      </c>
      <c r="CI58">
        <v>1</v>
      </c>
      <c r="CJ58">
        <v>1</v>
      </c>
      <c r="CK58" t="s">
        <v>168</v>
      </c>
      <c r="CL58" t="s">
        <v>79</v>
      </c>
    </row>
    <row r="59" spans="1:90" x14ac:dyDescent="0.25">
      <c r="A59" t="s">
        <v>211</v>
      </c>
      <c r="B59" t="s">
        <v>212</v>
      </c>
      <c r="C59" t="s">
        <v>72</v>
      </c>
      <c r="E59" t="str">
        <f>"009940956526"</f>
        <v>009940956526</v>
      </c>
      <c r="F59" s="2">
        <v>44294</v>
      </c>
      <c r="G59">
        <v>202110</v>
      </c>
      <c r="H59" t="s">
        <v>182</v>
      </c>
      <c r="I59" t="s">
        <v>183</v>
      </c>
      <c r="J59" t="s">
        <v>213</v>
      </c>
      <c r="K59" t="s">
        <v>73</v>
      </c>
      <c r="L59" t="s">
        <v>86</v>
      </c>
      <c r="M59" t="s">
        <v>87</v>
      </c>
      <c r="N59" t="s">
        <v>257</v>
      </c>
      <c r="O59" t="s">
        <v>100</v>
      </c>
      <c r="P59" t="str">
        <f t="shared" si="1"/>
        <v xml:space="preserve">STORES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15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15.6</v>
      </c>
      <c r="BJ59">
        <v>16.899999999999999</v>
      </c>
      <c r="BK59">
        <v>17</v>
      </c>
      <c r="BL59">
        <v>83.84</v>
      </c>
      <c r="BM59">
        <v>12.58</v>
      </c>
      <c r="BN59">
        <v>96.42</v>
      </c>
      <c r="BO59">
        <v>96.42</v>
      </c>
      <c r="BQ59" t="s">
        <v>103</v>
      </c>
      <c r="BR59" t="s">
        <v>103</v>
      </c>
      <c r="BS59" s="2">
        <v>44295</v>
      </c>
      <c r="BT59" s="3">
        <v>0.41666666666666669</v>
      </c>
      <c r="BU59" t="s">
        <v>227</v>
      </c>
      <c r="BV59" t="s">
        <v>90</v>
      </c>
      <c r="BY59">
        <v>84692.05</v>
      </c>
      <c r="CA59" t="s">
        <v>228</v>
      </c>
      <c r="CC59" t="s">
        <v>87</v>
      </c>
      <c r="CD59">
        <v>4091</v>
      </c>
      <c r="CE59" t="s">
        <v>80</v>
      </c>
      <c r="CF59" s="2">
        <v>44295</v>
      </c>
      <c r="CI59">
        <v>1</v>
      </c>
      <c r="CJ59">
        <v>1</v>
      </c>
      <c r="CK59" t="s">
        <v>102</v>
      </c>
      <c r="CL59" t="s">
        <v>79</v>
      </c>
    </row>
    <row r="60" spans="1:90" x14ac:dyDescent="0.25">
      <c r="A60" t="s">
        <v>211</v>
      </c>
      <c r="B60" t="s">
        <v>212</v>
      </c>
      <c r="C60" t="s">
        <v>72</v>
      </c>
      <c r="E60" t="str">
        <f>"009935998782"</f>
        <v>009935998782</v>
      </c>
      <c r="F60" s="2">
        <v>44294</v>
      </c>
      <c r="G60">
        <v>202110</v>
      </c>
      <c r="H60" t="s">
        <v>182</v>
      </c>
      <c r="I60" t="s">
        <v>183</v>
      </c>
      <c r="J60" t="s">
        <v>213</v>
      </c>
      <c r="K60" t="s">
        <v>73</v>
      </c>
      <c r="L60" t="s">
        <v>199</v>
      </c>
      <c r="M60" t="s">
        <v>200</v>
      </c>
      <c r="N60" t="s">
        <v>320</v>
      </c>
      <c r="O60" t="s">
        <v>100</v>
      </c>
      <c r="P60" t="str">
        <f t="shared" si="1"/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13.84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3.2</v>
      </c>
      <c r="BJ60">
        <v>3.2</v>
      </c>
      <c r="BK60">
        <v>4</v>
      </c>
      <c r="BL60">
        <v>77.72</v>
      </c>
      <c r="BM60">
        <v>11.66</v>
      </c>
      <c r="BN60">
        <v>89.38</v>
      </c>
      <c r="BO60">
        <v>89.38</v>
      </c>
      <c r="BQ60" t="s">
        <v>103</v>
      </c>
      <c r="BR60" t="s">
        <v>235</v>
      </c>
      <c r="BS60" s="2">
        <v>44295</v>
      </c>
      <c r="BT60" s="3">
        <v>0.4375</v>
      </c>
      <c r="BU60" t="s">
        <v>264</v>
      </c>
      <c r="BV60" t="s">
        <v>90</v>
      </c>
      <c r="BY60">
        <v>16060.27</v>
      </c>
      <c r="CA60" t="s">
        <v>266</v>
      </c>
      <c r="CC60" t="s">
        <v>200</v>
      </c>
      <c r="CD60">
        <v>9301</v>
      </c>
      <c r="CE60" t="s">
        <v>103</v>
      </c>
      <c r="CF60" s="2">
        <v>44298</v>
      </c>
      <c r="CI60">
        <v>1</v>
      </c>
      <c r="CJ60">
        <v>1</v>
      </c>
      <c r="CK60" t="s">
        <v>187</v>
      </c>
      <c r="CL60" t="s">
        <v>79</v>
      </c>
    </row>
    <row r="61" spans="1:90" x14ac:dyDescent="0.25">
      <c r="A61" t="s">
        <v>211</v>
      </c>
      <c r="B61" t="s">
        <v>212</v>
      </c>
      <c r="C61" t="s">
        <v>72</v>
      </c>
      <c r="E61" t="str">
        <f>"009940956802"</f>
        <v>009940956802</v>
      </c>
      <c r="F61" s="2">
        <v>44294</v>
      </c>
      <c r="G61">
        <v>202110</v>
      </c>
      <c r="H61" t="s">
        <v>182</v>
      </c>
      <c r="I61" t="s">
        <v>183</v>
      </c>
      <c r="J61" t="s">
        <v>213</v>
      </c>
      <c r="K61" t="s">
        <v>73</v>
      </c>
      <c r="L61" t="s">
        <v>98</v>
      </c>
      <c r="M61" t="s">
        <v>99</v>
      </c>
      <c r="N61" t="s">
        <v>213</v>
      </c>
      <c r="O61" t="s">
        <v>100</v>
      </c>
      <c r="P61" t="str">
        <f t="shared" si="1"/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33.29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37</v>
      </c>
      <c r="BJ61">
        <v>30.9</v>
      </c>
      <c r="BK61">
        <v>37</v>
      </c>
      <c r="BL61">
        <v>179.93</v>
      </c>
      <c r="BM61">
        <v>26.99</v>
      </c>
      <c r="BN61">
        <v>206.92</v>
      </c>
      <c r="BO61">
        <v>206.92</v>
      </c>
      <c r="BQ61" t="s">
        <v>103</v>
      </c>
      <c r="BR61" t="s">
        <v>103</v>
      </c>
      <c r="BS61" s="2">
        <v>44295</v>
      </c>
      <c r="BT61" s="3">
        <v>0.37083333333333335</v>
      </c>
      <c r="BU61" t="s">
        <v>318</v>
      </c>
      <c r="BV61" t="s">
        <v>90</v>
      </c>
      <c r="BY61">
        <v>154440</v>
      </c>
      <c r="CA61" t="s">
        <v>319</v>
      </c>
      <c r="CC61" t="s">
        <v>99</v>
      </c>
      <c r="CD61">
        <v>1034</v>
      </c>
      <c r="CE61" t="s">
        <v>80</v>
      </c>
      <c r="CF61" s="2">
        <v>44295</v>
      </c>
      <c r="CI61">
        <v>1</v>
      </c>
      <c r="CJ61">
        <v>1</v>
      </c>
      <c r="CK61" t="s">
        <v>168</v>
      </c>
      <c r="CL61" t="s">
        <v>79</v>
      </c>
    </row>
    <row r="62" spans="1:90" x14ac:dyDescent="0.25">
      <c r="A62" t="s">
        <v>211</v>
      </c>
      <c r="B62" t="s">
        <v>212</v>
      </c>
      <c r="C62" t="s">
        <v>72</v>
      </c>
      <c r="E62" t="str">
        <f>"009940957395"</f>
        <v>009940957395</v>
      </c>
      <c r="F62" s="2">
        <v>44294</v>
      </c>
      <c r="G62">
        <v>202110</v>
      </c>
      <c r="H62" t="s">
        <v>182</v>
      </c>
      <c r="I62" t="s">
        <v>183</v>
      </c>
      <c r="J62" t="s">
        <v>213</v>
      </c>
      <c r="K62" t="s">
        <v>73</v>
      </c>
      <c r="L62" t="s">
        <v>133</v>
      </c>
      <c r="M62" t="s">
        <v>94</v>
      </c>
      <c r="N62" t="s">
        <v>213</v>
      </c>
      <c r="O62" t="s">
        <v>100</v>
      </c>
      <c r="P62" t="str">
        <f t="shared" si="1"/>
        <v xml:space="preserve">STORES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20.14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110.85</v>
      </c>
      <c r="BM62">
        <v>16.63</v>
      </c>
      <c r="BN62">
        <v>127.48</v>
      </c>
      <c r="BO62">
        <v>127.48</v>
      </c>
      <c r="BQ62" t="s">
        <v>321</v>
      </c>
      <c r="BR62" t="s">
        <v>215</v>
      </c>
      <c r="BS62" s="2">
        <v>44298</v>
      </c>
      <c r="BT62" s="3">
        <v>0.4201388888888889</v>
      </c>
      <c r="BU62" t="s">
        <v>292</v>
      </c>
      <c r="BV62" t="s">
        <v>90</v>
      </c>
      <c r="BY62">
        <v>1200</v>
      </c>
      <c r="CA62" t="s">
        <v>226</v>
      </c>
      <c r="CC62" t="s">
        <v>94</v>
      </c>
      <c r="CD62">
        <v>8000</v>
      </c>
      <c r="CE62" t="s">
        <v>80</v>
      </c>
      <c r="CF62" s="2">
        <v>44299</v>
      </c>
      <c r="CI62">
        <v>2</v>
      </c>
      <c r="CJ62">
        <v>2</v>
      </c>
      <c r="CK62" t="s">
        <v>134</v>
      </c>
      <c r="CL62" t="s">
        <v>79</v>
      </c>
    </row>
    <row r="63" spans="1:90" x14ac:dyDescent="0.25">
      <c r="A63" t="s">
        <v>211</v>
      </c>
      <c r="B63" t="s">
        <v>212</v>
      </c>
      <c r="C63" t="s">
        <v>72</v>
      </c>
      <c r="E63" t="str">
        <f>"009940563950"</f>
        <v>009940563950</v>
      </c>
      <c r="F63" s="2">
        <v>44294</v>
      </c>
      <c r="G63">
        <v>202110</v>
      </c>
      <c r="H63" t="s">
        <v>182</v>
      </c>
      <c r="I63" t="s">
        <v>183</v>
      </c>
      <c r="J63" t="s">
        <v>213</v>
      </c>
      <c r="K63" t="s">
        <v>73</v>
      </c>
      <c r="L63" t="s">
        <v>171</v>
      </c>
      <c r="M63" t="s">
        <v>172</v>
      </c>
      <c r="N63" t="s">
        <v>213</v>
      </c>
      <c r="O63" t="s">
        <v>76</v>
      </c>
      <c r="P63" t="str">
        <f t="shared" si="1"/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9.84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51.71</v>
      </c>
      <c r="BM63">
        <v>7.76</v>
      </c>
      <c r="BN63">
        <v>59.47</v>
      </c>
      <c r="BO63">
        <v>59.47</v>
      </c>
      <c r="BQ63" t="s">
        <v>103</v>
      </c>
      <c r="BR63" t="s">
        <v>103</v>
      </c>
      <c r="BS63" s="2">
        <v>44295</v>
      </c>
      <c r="BT63" s="3">
        <v>0.42083333333333334</v>
      </c>
      <c r="BU63" t="s">
        <v>170</v>
      </c>
      <c r="BV63" t="s">
        <v>90</v>
      </c>
      <c r="BY63">
        <v>1200</v>
      </c>
      <c r="BZ63" t="s">
        <v>81</v>
      </c>
      <c r="CA63" t="s">
        <v>225</v>
      </c>
      <c r="CC63" t="s">
        <v>172</v>
      </c>
      <c r="CD63">
        <v>700</v>
      </c>
      <c r="CE63" t="s">
        <v>80</v>
      </c>
      <c r="CF63" s="2">
        <v>44295</v>
      </c>
      <c r="CI63">
        <v>1</v>
      </c>
      <c r="CJ63">
        <v>1</v>
      </c>
      <c r="CK63">
        <v>21</v>
      </c>
      <c r="CL63" t="s">
        <v>79</v>
      </c>
    </row>
    <row r="64" spans="1:90" x14ac:dyDescent="0.25">
      <c r="A64" t="s">
        <v>211</v>
      </c>
      <c r="B64" t="s">
        <v>212</v>
      </c>
      <c r="C64" t="s">
        <v>72</v>
      </c>
      <c r="E64" t="str">
        <f>"009940026788"</f>
        <v>009940026788</v>
      </c>
      <c r="F64" s="2">
        <v>44294</v>
      </c>
      <c r="G64">
        <v>202110</v>
      </c>
      <c r="H64" t="s">
        <v>182</v>
      </c>
      <c r="I64" t="s">
        <v>183</v>
      </c>
      <c r="J64" t="s">
        <v>213</v>
      </c>
      <c r="K64" t="s">
        <v>73</v>
      </c>
      <c r="L64" t="s">
        <v>147</v>
      </c>
      <c r="M64" t="s">
        <v>148</v>
      </c>
      <c r="N64" t="s">
        <v>213</v>
      </c>
      <c r="O64" t="s">
        <v>76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19.059999999999999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100.18</v>
      </c>
      <c r="BM64">
        <v>15.03</v>
      </c>
      <c r="BN64">
        <v>115.21</v>
      </c>
      <c r="BO64">
        <v>115.21</v>
      </c>
      <c r="BQ64" t="s">
        <v>322</v>
      </c>
      <c r="BR64" t="s">
        <v>103</v>
      </c>
      <c r="BS64" s="2">
        <v>44300</v>
      </c>
      <c r="BT64" s="3">
        <v>0.59722222222222221</v>
      </c>
      <c r="BU64" t="s">
        <v>323</v>
      </c>
      <c r="BV64" t="s">
        <v>79</v>
      </c>
      <c r="BW64" t="s">
        <v>114</v>
      </c>
      <c r="BX64" t="s">
        <v>209</v>
      </c>
      <c r="BY64">
        <v>1200</v>
      </c>
      <c r="BZ64" t="s">
        <v>81</v>
      </c>
      <c r="CA64" t="s">
        <v>324</v>
      </c>
      <c r="CC64" t="s">
        <v>148</v>
      </c>
      <c r="CD64">
        <v>2570</v>
      </c>
      <c r="CE64" t="s">
        <v>80</v>
      </c>
      <c r="CF64" s="2">
        <v>44301</v>
      </c>
      <c r="CI64">
        <v>1</v>
      </c>
      <c r="CJ64">
        <v>4</v>
      </c>
      <c r="CK64">
        <v>23</v>
      </c>
      <c r="CL64" t="s">
        <v>79</v>
      </c>
    </row>
    <row r="65" spans="1:90" x14ac:dyDescent="0.25">
      <c r="A65" t="s">
        <v>211</v>
      </c>
      <c r="B65" t="s">
        <v>212</v>
      </c>
      <c r="C65" t="s">
        <v>72</v>
      </c>
      <c r="E65" t="str">
        <f>"009935998622"</f>
        <v>009935998622</v>
      </c>
      <c r="F65" s="2">
        <v>44295</v>
      </c>
      <c r="G65">
        <v>202110</v>
      </c>
      <c r="H65" t="s">
        <v>182</v>
      </c>
      <c r="I65" t="s">
        <v>183</v>
      </c>
      <c r="J65" t="s">
        <v>213</v>
      </c>
      <c r="K65" t="s">
        <v>73</v>
      </c>
      <c r="L65" t="s">
        <v>199</v>
      </c>
      <c r="M65" t="s">
        <v>200</v>
      </c>
      <c r="N65" t="s">
        <v>325</v>
      </c>
      <c r="O65" t="s">
        <v>100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13.84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1.9</v>
      </c>
      <c r="BK65">
        <v>2</v>
      </c>
      <c r="BL65">
        <v>77.72</v>
      </c>
      <c r="BM65">
        <v>11.66</v>
      </c>
      <c r="BN65">
        <v>89.38</v>
      </c>
      <c r="BO65">
        <v>89.38</v>
      </c>
      <c r="BQ65" t="s">
        <v>326</v>
      </c>
      <c r="BR65" t="s">
        <v>235</v>
      </c>
      <c r="BS65" s="2">
        <v>44298</v>
      </c>
      <c r="BT65" s="3">
        <v>0.4236111111111111</v>
      </c>
      <c r="BU65" t="s">
        <v>327</v>
      </c>
      <c r="BV65" t="s">
        <v>90</v>
      </c>
      <c r="BY65">
        <v>9581.4699999999993</v>
      </c>
      <c r="CA65" t="s">
        <v>266</v>
      </c>
      <c r="CC65" t="s">
        <v>200</v>
      </c>
      <c r="CD65">
        <v>9301</v>
      </c>
      <c r="CE65" t="s">
        <v>80</v>
      </c>
      <c r="CF65" s="2">
        <v>44299</v>
      </c>
      <c r="CI65">
        <v>1</v>
      </c>
      <c r="CJ65">
        <v>1</v>
      </c>
      <c r="CK65" t="s">
        <v>187</v>
      </c>
      <c r="CL65" t="s">
        <v>79</v>
      </c>
    </row>
    <row r="66" spans="1:90" x14ac:dyDescent="0.25">
      <c r="A66" t="s">
        <v>211</v>
      </c>
      <c r="B66" t="s">
        <v>212</v>
      </c>
      <c r="C66" t="s">
        <v>72</v>
      </c>
      <c r="E66" t="str">
        <f>"009940957398"</f>
        <v>009940957398</v>
      </c>
      <c r="F66" s="2">
        <v>44295</v>
      </c>
      <c r="G66">
        <v>202110</v>
      </c>
      <c r="H66" t="s">
        <v>182</v>
      </c>
      <c r="I66" t="s">
        <v>183</v>
      </c>
      <c r="J66" t="s">
        <v>213</v>
      </c>
      <c r="K66" t="s">
        <v>73</v>
      </c>
      <c r="L66" t="s">
        <v>133</v>
      </c>
      <c r="M66" t="s">
        <v>94</v>
      </c>
      <c r="N66" t="s">
        <v>213</v>
      </c>
      <c r="O66" t="s">
        <v>100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88.28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3</v>
      </c>
      <c r="BI66">
        <v>92.8</v>
      </c>
      <c r="BJ66">
        <v>93.7</v>
      </c>
      <c r="BK66">
        <v>94</v>
      </c>
      <c r="BL66">
        <v>468.92</v>
      </c>
      <c r="BM66">
        <v>70.34</v>
      </c>
      <c r="BN66">
        <v>539.26</v>
      </c>
      <c r="BO66">
        <v>539.26</v>
      </c>
      <c r="BQ66" t="s">
        <v>263</v>
      </c>
      <c r="BR66" t="s">
        <v>215</v>
      </c>
      <c r="BS66" s="2">
        <v>44298</v>
      </c>
      <c r="BT66" s="3">
        <v>0.4201388888888889</v>
      </c>
      <c r="BU66" t="s">
        <v>292</v>
      </c>
      <c r="BV66" t="s">
        <v>90</v>
      </c>
      <c r="BY66">
        <v>468590.39</v>
      </c>
      <c r="CA66" t="s">
        <v>226</v>
      </c>
      <c r="CC66" t="s">
        <v>94</v>
      </c>
      <c r="CD66">
        <v>8000</v>
      </c>
      <c r="CE66" t="s">
        <v>80</v>
      </c>
      <c r="CF66" s="2">
        <v>44299</v>
      </c>
      <c r="CI66">
        <v>2</v>
      </c>
      <c r="CJ66">
        <v>1</v>
      </c>
      <c r="CK66" t="s">
        <v>134</v>
      </c>
      <c r="CL66" t="s">
        <v>79</v>
      </c>
    </row>
    <row r="67" spans="1:90" x14ac:dyDescent="0.25">
      <c r="A67" t="s">
        <v>211</v>
      </c>
      <c r="B67" t="s">
        <v>212</v>
      </c>
      <c r="C67" t="s">
        <v>72</v>
      </c>
      <c r="E67" t="str">
        <f>"009940563951"</f>
        <v>009940563951</v>
      </c>
      <c r="F67" s="2">
        <v>44295</v>
      </c>
      <c r="G67">
        <v>202110</v>
      </c>
      <c r="H67" t="s">
        <v>182</v>
      </c>
      <c r="I67" t="s">
        <v>183</v>
      </c>
      <c r="J67" t="s">
        <v>213</v>
      </c>
      <c r="K67" t="s">
        <v>73</v>
      </c>
      <c r="L67" t="s">
        <v>171</v>
      </c>
      <c r="M67" t="s">
        <v>172</v>
      </c>
      <c r="N67" t="s">
        <v>213</v>
      </c>
      <c r="O67" t="s">
        <v>100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13.84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0.2</v>
      </c>
      <c r="BJ67">
        <v>2.1</v>
      </c>
      <c r="BK67">
        <v>2</v>
      </c>
      <c r="BL67">
        <v>77.72</v>
      </c>
      <c r="BM67">
        <v>11.66</v>
      </c>
      <c r="BN67">
        <v>89.38</v>
      </c>
      <c r="BO67">
        <v>89.38</v>
      </c>
      <c r="BQ67" t="s">
        <v>224</v>
      </c>
      <c r="BR67" t="s">
        <v>311</v>
      </c>
      <c r="BS67" s="2">
        <v>44298</v>
      </c>
      <c r="BT67" s="3">
        <v>0.41666666666666669</v>
      </c>
      <c r="BU67" t="s">
        <v>170</v>
      </c>
      <c r="BV67" t="s">
        <v>90</v>
      </c>
      <c r="BY67">
        <v>10336.379999999999</v>
      </c>
      <c r="CA67" t="s">
        <v>225</v>
      </c>
      <c r="CC67" t="s">
        <v>172</v>
      </c>
      <c r="CD67">
        <v>700</v>
      </c>
      <c r="CE67" t="s">
        <v>80</v>
      </c>
      <c r="CF67" s="2">
        <v>44298</v>
      </c>
      <c r="CI67">
        <v>1</v>
      </c>
      <c r="CJ67">
        <v>1</v>
      </c>
      <c r="CK67" t="s">
        <v>187</v>
      </c>
      <c r="CL67" t="s">
        <v>79</v>
      </c>
    </row>
    <row r="68" spans="1:90" x14ac:dyDescent="0.25">
      <c r="A68" t="s">
        <v>211</v>
      </c>
      <c r="B68" t="s">
        <v>212</v>
      </c>
      <c r="C68" t="s">
        <v>72</v>
      </c>
      <c r="E68" t="str">
        <f>"009940956527"</f>
        <v>009940956527</v>
      </c>
      <c r="F68" s="2">
        <v>44295</v>
      </c>
      <c r="G68">
        <v>202110</v>
      </c>
      <c r="H68" t="s">
        <v>182</v>
      </c>
      <c r="I68" t="s">
        <v>183</v>
      </c>
      <c r="J68" t="s">
        <v>213</v>
      </c>
      <c r="K68" t="s">
        <v>73</v>
      </c>
      <c r="L68" t="s">
        <v>86</v>
      </c>
      <c r="M68" t="s">
        <v>87</v>
      </c>
      <c r="N68" t="s">
        <v>302</v>
      </c>
      <c r="O68" t="s">
        <v>100</v>
      </c>
      <c r="P68" t="str">
        <f>"STORES                        "</f>
        <v xml:space="preserve">STORES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13.84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0.2</v>
      </c>
      <c r="BJ68">
        <v>2.2000000000000002</v>
      </c>
      <c r="BK68">
        <v>3</v>
      </c>
      <c r="BL68">
        <v>77.72</v>
      </c>
      <c r="BM68">
        <v>11.66</v>
      </c>
      <c r="BN68">
        <v>89.38</v>
      </c>
      <c r="BO68">
        <v>89.38</v>
      </c>
      <c r="BQ68" t="s">
        <v>328</v>
      </c>
      <c r="BR68" t="s">
        <v>215</v>
      </c>
      <c r="BS68" s="2">
        <v>44298</v>
      </c>
      <c r="BT68" s="3">
        <v>0.38750000000000001</v>
      </c>
      <c r="BU68" t="s">
        <v>329</v>
      </c>
      <c r="BV68" t="s">
        <v>90</v>
      </c>
      <c r="BY68">
        <v>10995.84</v>
      </c>
      <c r="CA68" t="s">
        <v>112</v>
      </c>
      <c r="CC68" t="s">
        <v>87</v>
      </c>
      <c r="CD68">
        <v>4091</v>
      </c>
      <c r="CE68" t="s">
        <v>80</v>
      </c>
      <c r="CF68" s="2">
        <v>44299</v>
      </c>
      <c r="CI68">
        <v>1</v>
      </c>
      <c r="CJ68">
        <v>1</v>
      </c>
      <c r="CK68" t="s">
        <v>102</v>
      </c>
      <c r="CL68" t="s">
        <v>79</v>
      </c>
    </row>
    <row r="69" spans="1:90" x14ac:dyDescent="0.25">
      <c r="A69" t="s">
        <v>211</v>
      </c>
      <c r="B69" t="s">
        <v>212</v>
      </c>
      <c r="C69" t="s">
        <v>72</v>
      </c>
      <c r="E69" t="str">
        <f>"009940957251"</f>
        <v>009940957251</v>
      </c>
      <c r="F69" s="2">
        <v>44295</v>
      </c>
      <c r="G69">
        <v>202110</v>
      </c>
      <c r="H69" t="s">
        <v>182</v>
      </c>
      <c r="I69" t="s">
        <v>183</v>
      </c>
      <c r="J69" t="s">
        <v>213</v>
      </c>
      <c r="K69" t="s">
        <v>73</v>
      </c>
      <c r="L69" t="s">
        <v>330</v>
      </c>
      <c r="M69" t="s">
        <v>331</v>
      </c>
      <c r="N69" t="s">
        <v>332</v>
      </c>
      <c r="O69" t="s">
        <v>100</v>
      </c>
      <c r="P69" t="str">
        <f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57.94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20.5</v>
      </c>
      <c r="BJ69">
        <v>38.700000000000003</v>
      </c>
      <c r="BK69">
        <v>39</v>
      </c>
      <c r="BL69">
        <v>309.48</v>
      </c>
      <c r="BM69">
        <v>46.42</v>
      </c>
      <c r="BN69">
        <v>355.9</v>
      </c>
      <c r="BO69">
        <v>355.9</v>
      </c>
      <c r="BQ69" t="s">
        <v>333</v>
      </c>
      <c r="BR69" t="s">
        <v>334</v>
      </c>
      <c r="BS69" s="2">
        <v>44298</v>
      </c>
      <c r="BT69" s="3">
        <v>0.625</v>
      </c>
      <c r="BU69" t="s">
        <v>335</v>
      </c>
      <c r="BV69" t="s">
        <v>90</v>
      </c>
      <c r="BY69">
        <v>193396.86</v>
      </c>
      <c r="CA69" t="s">
        <v>336</v>
      </c>
      <c r="CC69" t="s">
        <v>331</v>
      </c>
      <c r="CD69">
        <v>920</v>
      </c>
      <c r="CE69" t="s">
        <v>80</v>
      </c>
      <c r="CF69" s="2">
        <v>44298</v>
      </c>
      <c r="CI69">
        <v>1</v>
      </c>
      <c r="CJ69">
        <v>1</v>
      </c>
      <c r="CK69" t="s">
        <v>135</v>
      </c>
      <c r="CL69" t="s">
        <v>79</v>
      </c>
    </row>
    <row r="70" spans="1:90" x14ac:dyDescent="0.25">
      <c r="A70" t="s">
        <v>211</v>
      </c>
      <c r="B70" t="s">
        <v>212</v>
      </c>
      <c r="C70" t="s">
        <v>72</v>
      </c>
      <c r="E70" t="str">
        <f>"009940684700"</f>
        <v>009940684700</v>
      </c>
      <c r="F70" s="2">
        <v>44294</v>
      </c>
      <c r="G70">
        <v>202110</v>
      </c>
      <c r="H70" t="s">
        <v>199</v>
      </c>
      <c r="I70" t="s">
        <v>200</v>
      </c>
      <c r="J70" t="s">
        <v>213</v>
      </c>
      <c r="K70" t="s">
        <v>73</v>
      </c>
      <c r="L70" t="s">
        <v>74</v>
      </c>
      <c r="M70" t="s">
        <v>75</v>
      </c>
      <c r="N70" t="s">
        <v>213</v>
      </c>
      <c r="O70" t="s">
        <v>100</v>
      </c>
      <c r="P70" t="str">
        <f>"                              "</f>
        <v xml:space="preserve">  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18.45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101.95</v>
      </c>
      <c r="BM70">
        <v>15.29</v>
      </c>
      <c r="BN70">
        <v>117.24</v>
      </c>
      <c r="BO70">
        <v>117.24</v>
      </c>
      <c r="BQ70" t="s">
        <v>337</v>
      </c>
      <c r="BR70" t="s">
        <v>261</v>
      </c>
      <c r="BS70" s="2">
        <v>44295</v>
      </c>
      <c r="BT70" s="3">
        <v>0.40208333333333335</v>
      </c>
      <c r="BU70" t="s">
        <v>301</v>
      </c>
      <c r="BV70" t="s">
        <v>90</v>
      </c>
      <c r="BY70">
        <v>1200</v>
      </c>
      <c r="CA70" t="s">
        <v>132</v>
      </c>
      <c r="CC70" t="s">
        <v>75</v>
      </c>
      <c r="CD70">
        <v>2196</v>
      </c>
      <c r="CE70" t="s">
        <v>80</v>
      </c>
      <c r="CF70" s="2">
        <v>44296</v>
      </c>
      <c r="CI70">
        <v>1</v>
      </c>
      <c r="CJ70">
        <v>1</v>
      </c>
      <c r="CK70" t="s">
        <v>168</v>
      </c>
      <c r="CL70" t="s">
        <v>79</v>
      </c>
    </row>
    <row r="71" spans="1:90" x14ac:dyDescent="0.25">
      <c r="A71" t="s">
        <v>211</v>
      </c>
      <c r="B71" t="s">
        <v>212</v>
      </c>
      <c r="C71" t="s">
        <v>72</v>
      </c>
      <c r="E71" t="str">
        <f>"009940776174"</f>
        <v>009940776174</v>
      </c>
      <c r="F71" s="2">
        <v>44295</v>
      </c>
      <c r="G71">
        <v>202110</v>
      </c>
      <c r="H71" t="s">
        <v>88</v>
      </c>
      <c r="I71" t="s">
        <v>89</v>
      </c>
      <c r="J71" t="s">
        <v>238</v>
      </c>
      <c r="K71" t="s">
        <v>73</v>
      </c>
      <c r="L71" t="s">
        <v>82</v>
      </c>
      <c r="M71" t="s">
        <v>83</v>
      </c>
      <c r="N71" t="s">
        <v>338</v>
      </c>
      <c r="O71" t="s">
        <v>100</v>
      </c>
      <c r="P71" t="str">
        <f>"JNB2104090185                 "</f>
        <v xml:space="preserve">JNB2104090185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46.26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47.1</v>
      </c>
      <c r="BJ71">
        <v>70.2</v>
      </c>
      <c r="BK71">
        <v>71</v>
      </c>
      <c r="BL71">
        <v>248.1</v>
      </c>
      <c r="BM71">
        <v>37.22</v>
      </c>
      <c r="BN71">
        <v>285.32</v>
      </c>
      <c r="BO71">
        <v>285.32</v>
      </c>
      <c r="BQ71" t="s">
        <v>339</v>
      </c>
      <c r="BR71" t="s">
        <v>240</v>
      </c>
      <c r="BS71" s="2">
        <v>44300</v>
      </c>
      <c r="BT71" s="3">
        <v>0.46388888888888885</v>
      </c>
      <c r="BU71" t="s">
        <v>239</v>
      </c>
      <c r="BV71" t="s">
        <v>79</v>
      </c>
      <c r="BW71" t="s">
        <v>176</v>
      </c>
      <c r="BX71" t="s">
        <v>145</v>
      </c>
      <c r="BY71">
        <v>350960</v>
      </c>
      <c r="CC71" t="s">
        <v>83</v>
      </c>
      <c r="CD71">
        <v>5200</v>
      </c>
      <c r="CE71" t="s">
        <v>80</v>
      </c>
      <c r="CF71" s="2">
        <v>44300</v>
      </c>
      <c r="CI71">
        <v>1</v>
      </c>
      <c r="CJ71">
        <v>3</v>
      </c>
      <c r="CK71" t="s">
        <v>101</v>
      </c>
      <c r="CL71" t="s">
        <v>79</v>
      </c>
    </row>
    <row r="72" spans="1:90" x14ac:dyDescent="0.25">
      <c r="A72" t="s">
        <v>211</v>
      </c>
      <c r="B72" t="s">
        <v>212</v>
      </c>
      <c r="C72" t="s">
        <v>72</v>
      </c>
      <c r="E72" t="str">
        <f>"009940956528"</f>
        <v>009940956528</v>
      </c>
      <c r="F72" s="2">
        <v>44298</v>
      </c>
      <c r="G72">
        <v>202110</v>
      </c>
      <c r="H72" t="s">
        <v>182</v>
      </c>
      <c r="I72" t="s">
        <v>183</v>
      </c>
      <c r="J72" t="s">
        <v>213</v>
      </c>
      <c r="K72" t="s">
        <v>73</v>
      </c>
      <c r="L72" t="s">
        <v>86</v>
      </c>
      <c r="M72" t="s">
        <v>87</v>
      </c>
      <c r="N72" t="s">
        <v>213</v>
      </c>
      <c r="O72" t="s">
        <v>100</v>
      </c>
      <c r="P72" t="str">
        <f>"STORES                        "</f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13.84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77.72</v>
      </c>
      <c r="BM72">
        <v>11.66</v>
      </c>
      <c r="BN72">
        <v>89.38</v>
      </c>
      <c r="BO72">
        <v>89.38</v>
      </c>
      <c r="BQ72" t="s">
        <v>340</v>
      </c>
      <c r="BR72" t="s">
        <v>215</v>
      </c>
      <c r="BS72" s="2">
        <v>44299</v>
      </c>
      <c r="BT72" s="3">
        <v>0.3611111111111111</v>
      </c>
      <c r="BU72" t="s">
        <v>329</v>
      </c>
      <c r="BV72" t="s">
        <v>90</v>
      </c>
      <c r="BY72">
        <v>1200</v>
      </c>
      <c r="CA72" t="s">
        <v>112</v>
      </c>
      <c r="CC72" t="s">
        <v>87</v>
      </c>
      <c r="CD72">
        <v>4091</v>
      </c>
      <c r="CE72" t="s">
        <v>80</v>
      </c>
      <c r="CF72" s="2">
        <v>44299</v>
      </c>
      <c r="CI72">
        <v>1</v>
      </c>
      <c r="CJ72">
        <v>1</v>
      </c>
      <c r="CK72" t="s">
        <v>102</v>
      </c>
      <c r="CL72" t="s">
        <v>79</v>
      </c>
    </row>
    <row r="73" spans="1:90" x14ac:dyDescent="0.25">
      <c r="A73" t="s">
        <v>211</v>
      </c>
      <c r="B73" t="s">
        <v>212</v>
      </c>
      <c r="C73" t="s">
        <v>72</v>
      </c>
      <c r="E73" t="str">
        <f>"009940361900"</f>
        <v>009940361900</v>
      </c>
      <c r="F73" s="2">
        <v>44295</v>
      </c>
      <c r="G73">
        <v>202110</v>
      </c>
      <c r="H73" t="s">
        <v>163</v>
      </c>
      <c r="I73" t="s">
        <v>164</v>
      </c>
      <c r="J73" t="s">
        <v>213</v>
      </c>
      <c r="K73" t="s">
        <v>73</v>
      </c>
      <c r="L73" t="s">
        <v>171</v>
      </c>
      <c r="M73" t="s">
        <v>172</v>
      </c>
      <c r="N73" t="s">
        <v>213</v>
      </c>
      <c r="O73" t="s">
        <v>100</v>
      </c>
      <c r="P73" t="str">
        <f t="shared" ref="P73:P78" si="2"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41.02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61</v>
      </c>
      <c r="BJ73">
        <v>55.6</v>
      </c>
      <c r="BK73">
        <v>61</v>
      </c>
      <c r="BL73">
        <v>220.56</v>
      </c>
      <c r="BM73">
        <v>33.08</v>
      </c>
      <c r="BN73">
        <v>253.64</v>
      </c>
      <c r="BO73">
        <v>253.64</v>
      </c>
      <c r="BQ73" t="s">
        <v>224</v>
      </c>
      <c r="BR73" t="s">
        <v>179</v>
      </c>
      <c r="BS73" s="2">
        <v>44298</v>
      </c>
      <c r="BT73" s="3">
        <v>0.43194444444444446</v>
      </c>
      <c r="BU73" t="s">
        <v>170</v>
      </c>
      <c r="BV73" t="s">
        <v>90</v>
      </c>
      <c r="BY73">
        <v>277788</v>
      </c>
      <c r="CA73" t="s">
        <v>341</v>
      </c>
      <c r="CC73" t="s">
        <v>172</v>
      </c>
      <c r="CD73">
        <v>699</v>
      </c>
      <c r="CE73" t="s">
        <v>80</v>
      </c>
      <c r="CF73" s="2">
        <v>44298</v>
      </c>
      <c r="CI73">
        <v>1</v>
      </c>
      <c r="CJ73">
        <v>1</v>
      </c>
      <c r="CK73" t="s">
        <v>101</v>
      </c>
      <c r="CL73" t="s">
        <v>79</v>
      </c>
    </row>
    <row r="74" spans="1:90" x14ac:dyDescent="0.25">
      <c r="A74" t="s">
        <v>211</v>
      </c>
      <c r="B74" t="s">
        <v>212</v>
      </c>
      <c r="C74" t="s">
        <v>72</v>
      </c>
      <c r="E74" t="str">
        <f>"009940148806"</f>
        <v>009940148806</v>
      </c>
      <c r="F74" s="2">
        <v>44295</v>
      </c>
      <c r="G74">
        <v>202110</v>
      </c>
      <c r="H74" t="s">
        <v>119</v>
      </c>
      <c r="I74" t="s">
        <v>120</v>
      </c>
      <c r="J74" t="s">
        <v>271</v>
      </c>
      <c r="K74" t="s">
        <v>73</v>
      </c>
      <c r="L74" t="s">
        <v>74</v>
      </c>
      <c r="M74" t="s">
        <v>75</v>
      </c>
      <c r="N74" t="s">
        <v>271</v>
      </c>
      <c r="O74" t="s">
        <v>100</v>
      </c>
      <c r="P74" t="str">
        <f t="shared" si="2"/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23.98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6</v>
      </c>
      <c r="BI74">
        <v>6</v>
      </c>
      <c r="BJ74">
        <v>1.4</v>
      </c>
      <c r="BK74">
        <v>6</v>
      </c>
      <c r="BL74">
        <v>131.04</v>
      </c>
      <c r="BM74">
        <v>19.66</v>
      </c>
      <c r="BN74">
        <v>150.69999999999999</v>
      </c>
      <c r="BO74">
        <v>150.69999999999999</v>
      </c>
      <c r="BR74" t="s">
        <v>136</v>
      </c>
      <c r="BS74" s="2">
        <v>44300</v>
      </c>
      <c r="BT74" s="3">
        <v>0.35902777777777778</v>
      </c>
      <c r="BU74" t="s">
        <v>310</v>
      </c>
      <c r="BV74" t="s">
        <v>90</v>
      </c>
      <c r="BY74">
        <v>1200</v>
      </c>
      <c r="CC74" t="s">
        <v>75</v>
      </c>
      <c r="CD74">
        <v>2196</v>
      </c>
      <c r="CE74" t="s">
        <v>80</v>
      </c>
      <c r="CF74" s="2">
        <v>44301</v>
      </c>
      <c r="CI74">
        <v>0</v>
      </c>
      <c r="CJ74">
        <v>0</v>
      </c>
      <c r="CK74" t="s">
        <v>217</v>
      </c>
      <c r="CL74" t="s">
        <v>79</v>
      </c>
    </row>
    <row r="75" spans="1:90" x14ac:dyDescent="0.25">
      <c r="A75" t="s">
        <v>211</v>
      </c>
      <c r="B75" t="s">
        <v>212</v>
      </c>
      <c r="C75" t="s">
        <v>72</v>
      </c>
      <c r="E75" t="str">
        <f>"009939946711"</f>
        <v>009939946711</v>
      </c>
      <c r="F75" s="2">
        <v>44295</v>
      </c>
      <c r="G75">
        <v>202110</v>
      </c>
      <c r="H75" t="s">
        <v>86</v>
      </c>
      <c r="I75" t="s">
        <v>87</v>
      </c>
      <c r="J75" t="s">
        <v>302</v>
      </c>
      <c r="K75" t="s">
        <v>73</v>
      </c>
      <c r="L75" t="s">
        <v>74</v>
      </c>
      <c r="M75" t="s">
        <v>75</v>
      </c>
      <c r="N75" t="s">
        <v>213</v>
      </c>
      <c r="O75" t="s">
        <v>100</v>
      </c>
      <c r="P75" t="str">
        <f t="shared" si="2"/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21.15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19</v>
      </c>
      <c r="BJ75">
        <v>15.7</v>
      </c>
      <c r="BK75">
        <v>19</v>
      </c>
      <c r="BL75">
        <v>116.13</v>
      </c>
      <c r="BM75">
        <v>17.420000000000002</v>
      </c>
      <c r="BN75">
        <v>133.55000000000001</v>
      </c>
      <c r="BO75">
        <v>133.55000000000001</v>
      </c>
      <c r="BQ75" t="s">
        <v>342</v>
      </c>
      <c r="BR75" t="s">
        <v>343</v>
      </c>
      <c r="BS75" s="2">
        <v>44298</v>
      </c>
      <c r="BT75" s="3">
        <v>0.43541666666666662</v>
      </c>
      <c r="BU75" t="s">
        <v>115</v>
      </c>
      <c r="BV75" t="s">
        <v>90</v>
      </c>
      <c r="BY75">
        <v>78568</v>
      </c>
      <c r="CA75" t="s">
        <v>132</v>
      </c>
      <c r="CC75" t="s">
        <v>75</v>
      </c>
      <c r="CD75">
        <v>2090</v>
      </c>
      <c r="CE75" t="s">
        <v>80</v>
      </c>
      <c r="CF75" s="2">
        <v>44298</v>
      </c>
      <c r="CI75">
        <v>1</v>
      </c>
      <c r="CJ75">
        <v>1</v>
      </c>
      <c r="CK75" t="s">
        <v>184</v>
      </c>
      <c r="CL75" t="s">
        <v>79</v>
      </c>
    </row>
    <row r="76" spans="1:90" x14ac:dyDescent="0.25">
      <c r="A76" t="s">
        <v>211</v>
      </c>
      <c r="B76" t="s">
        <v>212</v>
      </c>
      <c r="C76" t="s">
        <v>72</v>
      </c>
      <c r="E76" t="str">
        <f>"009940885758"</f>
        <v>009940885758</v>
      </c>
      <c r="F76" s="2">
        <v>44295</v>
      </c>
      <c r="G76">
        <v>202110</v>
      </c>
      <c r="H76" t="s">
        <v>171</v>
      </c>
      <c r="I76" t="s">
        <v>172</v>
      </c>
      <c r="J76" t="s">
        <v>213</v>
      </c>
      <c r="K76" t="s">
        <v>73</v>
      </c>
      <c r="L76" t="s">
        <v>74</v>
      </c>
      <c r="M76" t="s">
        <v>75</v>
      </c>
      <c r="N76" t="s">
        <v>213</v>
      </c>
      <c r="O76" t="s">
        <v>100</v>
      </c>
      <c r="P76" t="str">
        <f t="shared" si="2"/>
        <v xml:space="preserve">   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18.45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11</v>
      </c>
      <c r="BJ76">
        <v>8.6</v>
      </c>
      <c r="BK76">
        <v>11</v>
      </c>
      <c r="BL76">
        <v>101.95</v>
      </c>
      <c r="BM76">
        <v>15.29</v>
      </c>
      <c r="BN76">
        <v>117.24</v>
      </c>
      <c r="BO76">
        <v>117.24</v>
      </c>
      <c r="BR76" t="s">
        <v>162</v>
      </c>
      <c r="BS76" s="2">
        <v>44298</v>
      </c>
      <c r="BT76" s="3">
        <v>0.43541666666666662</v>
      </c>
      <c r="BU76" t="s">
        <v>115</v>
      </c>
      <c r="BV76" t="s">
        <v>90</v>
      </c>
      <c r="BY76">
        <v>43200</v>
      </c>
      <c r="CA76" t="s">
        <v>132</v>
      </c>
      <c r="CC76" t="s">
        <v>75</v>
      </c>
      <c r="CD76">
        <v>2196</v>
      </c>
      <c r="CE76" t="s">
        <v>80</v>
      </c>
      <c r="CF76" s="2">
        <v>44298</v>
      </c>
      <c r="CI76">
        <v>1</v>
      </c>
      <c r="CJ76">
        <v>1</v>
      </c>
      <c r="CK76" t="s">
        <v>168</v>
      </c>
      <c r="CL76" t="s">
        <v>79</v>
      </c>
    </row>
    <row r="77" spans="1:90" x14ac:dyDescent="0.25">
      <c r="A77" t="s">
        <v>211</v>
      </c>
      <c r="B77" t="s">
        <v>212</v>
      </c>
      <c r="C77" t="s">
        <v>72</v>
      </c>
      <c r="E77" t="str">
        <f>"009941094065"</f>
        <v>009941094065</v>
      </c>
      <c r="F77" s="2">
        <v>44295</v>
      </c>
      <c r="G77">
        <v>202110</v>
      </c>
      <c r="H77" t="s">
        <v>86</v>
      </c>
      <c r="I77" t="s">
        <v>87</v>
      </c>
      <c r="J77" t="s">
        <v>302</v>
      </c>
      <c r="K77" t="s">
        <v>73</v>
      </c>
      <c r="L77" t="s">
        <v>185</v>
      </c>
      <c r="M77" t="s">
        <v>186</v>
      </c>
      <c r="N77" t="s">
        <v>344</v>
      </c>
      <c r="O77" t="s">
        <v>100</v>
      </c>
      <c r="P77" t="str">
        <f t="shared" si="2"/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16.91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14.6</v>
      </c>
      <c r="BJ77">
        <v>5.7</v>
      </c>
      <c r="BK77">
        <v>15</v>
      </c>
      <c r="BL77">
        <v>93.87</v>
      </c>
      <c r="BM77">
        <v>14.08</v>
      </c>
      <c r="BN77">
        <v>107.95</v>
      </c>
      <c r="BO77">
        <v>107.95</v>
      </c>
      <c r="BQ77" t="s">
        <v>316</v>
      </c>
      <c r="BR77" t="s">
        <v>343</v>
      </c>
      <c r="BS77" s="2">
        <v>44298</v>
      </c>
      <c r="BT77" s="3">
        <v>0.375</v>
      </c>
      <c r="BU77" t="s">
        <v>317</v>
      </c>
      <c r="BV77" t="s">
        <v>90</v>
      </c>
      <c r="BY77">
        <v>28560</v>
      </c>
      <c r="CC77" t="s">
        <v>186</v>
      </c>
      <c r="CD77">
        <v>3900</v>
      </c>
      <c r="CE77" t="s">
        <v>80</v>
      </c>
      <c r="CF77" s="2">
        <v>44301</v>
      </c>
      <c r="CI77">
        <v>1</v>
      </c>
      <c r="CJ77">
        <v>1</v>
      </c>
      <c r="CK77" t="s">
        <v>101</v>
      </c>
      <c r="CL77" t="s">
        <v>79</v>
      </c>
    </row>
    <row r="78" spans="1:90" x14ac:dyDescent="0.25">
      <c r="A78" t="s">
        <v>211</v>
      </c>
      <c r="B78" t="s">
        <v>212</v>
      </c>
      <c r="C78" t="s">
        <v>72</v>
      </c>
      <c r="E78" t="str">
        <f>"009940361901"</f>
        <v>009940361901</v>
      </c>
      <c r="F78" s="2">
        <v>44295</v>
      </c>
      <c r="G78">
        <v>202110</v>
      </c>
      <c r="H78" t="s">
        <v>163</v>
      </c>
      <c r="I78" t="s">
        <v>164</v>
      </c>
      <c r="J78" t="s">
        <v>213</v>
      </c>
      <c r="K78" t="s">
        <v>73</v>
      </c>
      <c r="L78" t="s">
        <v>171</v>
      </c>
      <c r="M78" t="s">
        <v>172</v>
      </c>
      <c r="N78" t="s">
        <v>213</v>
      </c>
      <c r="O78" t="s">
        <v>100</v>
      </c>
      <c r="P78" t="str">
        <f t="shared" si="2"/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49.4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2</v>
      </c>
      <c r="BI78">
        <v>68</v>
      </c>
      <c r="BJ78">
        <v>76.5</v>
      </c>
      <c r="BK78">
        <v>77</v>
      </c>
      <c r="BL78">
        <v>264.62</v>
      </c>
      <c r="BM78">
        <v>39.69</v>
      </c>
      <c r="BN78">
        <v>304.31</v>
      </c>
      <c r="BO78">
        <v>304.31</v>
      </c>
      <c r="BQ78" t="s">
        <v>224</v>
      </c>
      <c r="BR78" t="s">
        <v>345</v>
      </c>
      <c r="BS78" s="2">
        <v>44298</v>
      </c>
      <c r="BT78" s="3">
        <v>0.43263888888888885</v>
      </c>
      <c r="BU78" t="s">
        <v>170</v>
      </c>
      <c r="BV78" t="s">
        <v>90</v>
      </c>
      <c r="BY78">
        <v>382320</v>
      </c>
      <c r="CA78" t="s">
        <v>341</v>
      </c>
      <c r="CC78" t="s">
        <v>172</v>
      </c>
      <c r="CD78">
        <v>699</v>
      </c>
      <c r="CE78" t="s">
        <v>80</v>
      </c>
      <c r="CF78" s="2">
        <v>44298</v>
      </c>
      <c r="CI78">
        <v>1</v>
      </c>
      <c r="CJ78">
        <v>1</v>
      </c>
      <c r="CK78" t="s">
        <v>101</v>
      </c>
      <c r="CL78" t="s">
        <v>79</v>
      </c>
    </row>
    <row r="79" spans="1:90" x14ac:dyDescent="0.25">
      <c r="A79" t="s">
        <v>211</v>
      </c>
      <c r="B79" t="s">
        <v>212</v>
      </c>
      <c r="C79" t="s">
        <v>72</v>
      </c>
      <c r="E79" t="str">
        <f>"009938978207"</f>
        <v>009938978207</v>
      </c>
      <c r="F79" s="2">
        <v>44257</v>
      </c>
      <c r="G79">
        <v>202110</v>
      </c>
      <c r="H79" t="s">
        <v>98</v>
      </c>
      <c r="I79" t="s">
        <v>99</v>
      </c>
      <c r="J79" t="s">
        <v>231</v>
      </c>
      <c r="K79" t="s">
        <v>73</v>
      </c>
      <c r="L79" t="s">
        <v>74</v>
      </c>
      <c r="M79" t="s">
        <v>75</v>
      </c>
      <c r="N79" t="s">
        <v>213</v>
      </c>
      <c r="O79" t="s">
        <v>76</v>
      </c>
      <c r="P79" t="str">
        <f>"083 601 5869                  "</f>
        <v xml:space="preserve">083 601 5869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41</v>
      </c>
      <c r="BJ79">
        <v>0</v>
      </c>
      <c r="BK79">
        <v>41</v>
      </c>
      <c r="BL79">
        <v>160.30000000000001</v>
      </c>
      <c r="BM79">
        <v>24.04</v>
      </c>
      <c r="BN79">
        <v>184.34</v>
      </c>
      <c r="BO79">
        <v>184.34</v>
      </c>
      <c r="BS79" s="2">
        <v>44258</v>
      </c>
      <c r="BT79" s="3">
        <v>0.34652777777777777</v>
      </c>
      <c r="BU79" t="s">
        <v>115</v>
      </c>
      <c r="BV79" t="s">
        <v>90</v>
      </c>
      <c r="BY79">
        <v>39600</v>
      </c>
      <c r="BZ79" t="s">
        <v>346</v>
      </c>
      <c r="CA79" t="s">
        <v>156</v>
      </c>
      <c r="CC79" t="s">
        <v>75</v>
      </c>
      <c r="CD79">
        <v>2000</v>
      </c>
      <c r="CE79" t="s">
        <v>80</v>
      </c>
      <c r="CF79" s="2">
        <v>44259</v>
      </c>
      <c r="CI79">
        <v>1</v>
      </c>
      <c r="CJ79">
        <v>1</v>
      </c>
      <c r="CK79">
        <v>-1</v>
      </c>
      <c r="CL79" t="s">
        <v>79</v>
      </c>
    </row>
    <row r="80" spans="1:90" x14ac:dyDescent="0.25">
      <c r="A80" t="s">
        <v>211</v>
      </c>
      <c r="B80" t="s">
        <v>212</v>
      </c>
      <c r="C80" t="s">
        <v>72</v>
      </c>
      <c r="E80" t="str">
        <f>"009935501135"</f>
        <v>009935501135</v>
      </c>
      <c r="F80" s="2">
        <v>44295</v>
      </c>
      <c r="G80">
        <v>202110</v>
      </c>
      <c r="H80" t="s">
        <v>182</v>
      </c>
      <c r="I80" t="s">
        <v>183</v>
      </c>
      <c r="J80" t="s">
        <v>213</v>
      </c>
      <c r="K80" t="s">
        <v>73</v>
      </c>
      <c r="L80" t="s">
        <v>88</v>
      </c>
      <c r="M80" t="s">
        <v>89</v>
      </c>
      <c r="N80" t="s">
        <v>347</v>
      </c>
      <c r="O80" t="s">
        <v>76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12.3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2.5</v>
      </c>
      <c r="BK80">
        <v>2.5</v>
      </c>
      <c r="BL80">
        <v>64.63</v>
      </c>
      <c r="BM80">
        <v>9.69</v>
      </c>
      <c r="BN80">
        <v>74.319999999999993</v>
      </c>
      <c r="BO80">
        <v>74.319999999999993</v>
      </c>
      <c r="BQ80" t="s">
        <v>348</v>
      </c>
      <c r="BR80" t="s">
        <v>235</v>
      </c>
      <c r="BS80" s="2">
        <v>44298</v>
      </c>
      <c r="BT80" s="3">
        <v>0.4458333333333333</v>
      </c>
      <c r="BU80" t="s">
        <v>349</v>
      </c>
      <c r="BV80" t="s">
        <v>79</v>
      </c>
      <c r="BW80" t="s">
        <v>105</v>
      </c>
      <c r="BX80" t="s">
        <v>117</v>
      </c>
      <c r="BY80">
        <v>12498.98</v>
      </c>
      <c r="BZ80" t="s">
        <v>81</v>
      </c>
      <c r="CA80" t="s">
        <v>113</v>
      </c>
      <c r="CC80" t="s">
        <v>89</v>
      </c>
      <c r="CD80">
        <v>6000</v>
      </c>
      <c r="CE80" t="s">
        <v>80</v>
      </c>
      <c r="CF80" s="2">
        <v>44298</v>
      </c>
      <c r="CI80">
        <v>1</v>
      </c>
      <c r="CJ80">
        <v>1</v>
      </c>
      <c r="CK80">
        <v>21</v>
      </c>
      <c r="CL80" t="s">
        <v>79</v>
      </c>
    </row>
    <row r="81" spans="1:90" x14ac:dyDescent="0.25">
      <c r="A81" t="s">
        <v>211</v>
      </c>
      <c r="B81" t="s">
        <v>212</v>
      </c>
      <c r="C81" t="s">
        <v>72</v>
      </c>
      <c r="E81" t="str">
        <f>"009940177487"</f>
        <v>009940177487</v>
      </c>
      <c r="F81" s="2">
        <v>44299</v>
      </c>
      <c r="G81">
        <v>202110</v>
      </c>
      <c r="H81" t="s">
        <v>108</v>
      </c>
      <c r="I81" t="s">
        <v>109</v>
      </c>
      <c r="J81" t="s">
        <v>213</v>
      </c>
      <c r="K81" t="s">
        <v>73</v>
      </c>
      <c r="L81" t="s">
        <v>350</v>
      </c>
      <c r="M81" t="s">
        <v>351</v>
      </c>
      <c r="N81" t="s">
        <v>213</v>
      </c>
      <c r="O81" t="s">
        <v>100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20.14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0.6</v>
      </c>
      <c r="BJ81">
        <v>0.2</v>
      </c>
      <c r="BK81">
        <v>1</v>
      </c>
      <c r="BL81">
        <v>110.85</v>
      </c>
      <c r="BM81">
        <v>16.63</v>
      </c>
      <c r="BN81">
        <v>127.48</v>
      </c>
      <c r="BO81">
        <v>127.48</v>
      </c>
      <c r="BQ81" t="s">
        <v>322</v>
      </c>
      <c r="BR81" t="s">
        <v>242</v>
      </c>
      <c r="BS81" s="2">
        <v>44300</v>
      </c>
      <c r="BT81" s="3">
        <v>0.63888888888888895</v>
      </c>
      <c r="BU81" t="s">
        <v>323</v>
      </c>
      <c r="BV81" t="s">
        <v>90</v>
      </c>
      <c r="BY81">
        <v>1200</v>
      </c>
      <c r="CA81" t="s">
        <v>324</v>
      </c>
      <c r="CC81" t="s">
        <v>351</v>
      </c>
      <c r="CD81">
        <v>2570</v>
      </c>
      <c r="CE81" t="s">
        <v>80</v>
      </c>
      <c r="CF81" s="2">
        <v>44301</v>
      </c>
      <c r="CI81">
        <v>1</v>
      </c>
      <c r="CJ81">
        <v>1</v>
      </c>
      <c r="CK81" t="s">
        <v>146</v>
      </c>
      <c r="CL81" t="s">
        <v>79</v>
      </c>
    </row>
    <row r="82" spans="1:90" x14ac:dyDescent="0.25">
      <c r="A82" t="s">
        <v>211</v>
      </c>
      <c r="B82" t="s">
        <v>212</v>
      </c>
      <c r="C82" t="s">
        <v>72</v>
      </c>
      <c r="E82" t="str">
        <f>"009940970214"</f>
        <v>009940970214</v>
      </c>
      <c r="F82" s="2">
        <v>44299</v>
      </c>
      <c r="G82">
        <v>202110</v>
      </c>
      <c r="H82" t="s">
        <v>185</v>
      </c>
      <c r="I82" t="s">
        <v>186</v>
      </c>
      <c r="J82" t="s">
        <v>271</v>
      </c>
      <c r="K82" t="s">
        <v>73</v>
      </c>
      <c r="L82" t="s">
        <v>96</v>
      </c>
      <c r="M82" t="s">
        <v>97</v>
      </c>
      <c r="N82" t="s">
        <v>352</v>
      </c>
      <c r="O82" t="s">
        <v>100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20.14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110.85</v>
      </c>
      <c r="BM82">
        <v>16.63</v>
      </c>
      <c r="BN82">
        <v>127.48</v>
      </c>
      <c r="BO82">
        <v>127.48</v>
      </c>
      <c r="BS82" s="2">
        <v>44300</v>
      </c>
      <c r="BT82" s="3">
        <v>0.42083333333333334</v>
      </c>
      <c r="BU82" t="s">
        <v>309</v>
      </c>
      <c r="BV82" t="s">
        <v>90</v>
      </c>
      <c r="BY82">
        <v>1200</v>
      </c>
      <c r="CA82" t="s">
        <v>174</v>
      </c>
      <c r="CC82" t="s">
        <v>97</v>
      </c>
      <c r="CD82">
        <v>1682</v>
      </c>
      <c r="CE82" t="s">
        <v>80</v>
      </c>
      <c r="CF82" s="2">
        <v>44301</v>
      </c>
      <c r="CI82">
        <v>2</v>
      </c>
      <c r="CJ82">
        <v>1</v>
      </c>
      <c r="CK82" t="s">
        <v>146</v>
      </c>
      <c r="CL82" t="s">
        <v>79</v>
      </c>
    </row>
    <row r="83" spans="1:90" x14ac:dyDescent="0.25">
      <c r="A83" t="s">
        <v>211</v>
      </c>
      <c r="B83" t="s">
        <v>212</v>
      </c>
      <c r="C83" t="s">
        <v>72</v>
      </c>
      <c r="E83" t="str">
        <f>"009940776176"</f>
        <v>009940776176</v>
      </c>
      <c r="F83" s="2">
        <v>44299</v>
      </c>
      <c r="G83">
        <v>202110</v>
      </c>
      <c r="H83" t="s">
        <v>88</v>
      </c>
      <c r="I83" t="s">
        <v>89</v>
      </c>
      <c r="J83" t="s">
        <v>238</v>
      </c>
      <c r="K83" t="s">
        <v>73</v>
      </c>
      <c r="L83" t="s">
        <v>203</v>
      </c>
      <c r="M83" t="s">
        <v>204</v>
      </c>
      <c r="N83" t="s">
        <v>344</v>
      </c>
      <c r="O83" t="s">
        <v>100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69.25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41</v>
      </c>
      <c r="BJ83">
        <v>46.6</v>
      </c>
      <c r="BK83">
        <v>47</v>
      </c>
      <c r="BL83">
        <v>368.95</v>
      </c>
      <c r="BM83">
        <v>55.34</v>
      </c>
      <c r="BN83">
        <v>424.29</v>
      </c>
      <c r="BO83">
        <v>424.29</v>
      </c>
      <c r="BQ83" t="s">
        <v>353</v>
      </c>
      <c r="BR83" t="s">
        <v>240</v>
      </c>
      <c r="BS83" s="2">
        <v>44302</v>
      </c>
      <c r="BT83" s="3">
        <v>0.52083333333333337</v>
      </c>
      <c r="BU83" t="s">
        <v>268</v>
      </c>
      <c r="BV83" t="s">
        <v>79</v>
      </c>
      <c r="BW83" t="s">
        <v>176</v>
      </c>
      <c r="BX83" t="s">
        <v>205</v>
      </c>
      <c r="BY83">
        <v>232848</v>
      </c>
      <c r="CC83" t="s">
        <v>204</v>
      </c>
      <c r="CD83">
        <v>8300</v>
      </c>
      <c r="CE83" t="s">
        <v>80</v>
      </c>
      <c r="CF83" s="2">
        <v>44302</v>
      </c>
      <c r="CI83">
        <v>2</v>
      </c>
      <c r="CJ83">
        <v>3</v>
      </c>
      <c r="CK83" t="s">
        <v>135</v>
      </c>
      <c r="CL83" t="s">
        <v>79</v>
      </c>
    </row>
    <row r="84" spans="1:90" x14ac:dyDescent="0.25">
      <c r="A84" t="s">
        <v>211</v>
      </c>
      <c r="B84" t="s">
        <v>212</v>
      </c>
      <c r="C84" t="s">
        <v>72</v>
      </c>
      <c r="E84" t="str">
        <f>"009940956607"</f>
        <v>009940956607</v>
      </c>
      <c r="F84" s="2">
        <v>44295</v>
      </c>
      <c r="G84">
        <v>202110</v>
      </c>
      <c r="H84" t="s">
        <v>182</v>
      </c>
      <c r="I84" t="s">
        <v>183</v>
      </c>
      <c r="J84" t="s">
        <v>213</v>
      </c>
      <c r="K84" t="s">
        <v>73</v>
      </c>
      <c r="L84" t="s">
        <v>108</v>
      </c>
      <c r="M84" t="s">
        <v>109</v>
      </c>
      <c r="N84" t="s">
        <v>354</v>
      </c>
      <c r="O84" t="s">
        <v>100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18.45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0.2</v>
      </c>
      <c r="BJ84">
        <v>2.4</v>
      </c>
      <c r="BK84">
        <v>3</v>
      </c>
      <c r="BL84">
        <v>101.95</v>
      </c>
      <c r="BM84">
        <v>15.29</v>
      </c>
      <c r="BN84">
        <v>117.24</v>
      </c>
      <c r="BO84">
        <v>117.24</v>
      </c>
      <c r="BQ84" t="s">
        <v>355</v>
      </c>
      <c r="BR84" t="s">
        <v>215</v>
      </c>
      <c r="BS84" s="2">
        <v>44298</v>
      </c>
      <c r="BT84" s="3">
        <v>0.36319444444444443</v>
      </c>
      <c r="BU84" t="s">
        <v>244</v>
      </c>
      <c r="BV84" t="s">
        <v>90</v>
      </c>
      <c r="BY84">
        <v>12211.44</v>
      </c>
      <c r="CA84" t="s">
        <v>158</v>
      </c>
      <c r="CC84" t="s">
        <v>109</v>
      </c>
      <c r="CD84">
        <v>299</v>
      </c>
      <c r="CE84" t="s">
        <v>80</v>
      </c>
      <c r="CF84" s="2">
        <v>44298</v>
      </c>
      <c r="CI84">
        <v>1</v>
      </c>
      <c r="CJ84">
        <v>1</v>
      </c>
      <c r="CK84" t="s">
        <v>168</v>
      </c>
      <c r="CL84" t="s">
        <v>79</v>
      </c>
    </row>
    <row r="85" spans="1:90" x14ac:dyDescent="0.25">
      <c r="A85" t="s">
        <v>211</v>
      </c>
      <c r="B85" t="s">
        <v>212</v>
      </c>
      <c r="C85" t="s">
        <v>72</v>
      </c>
      <c r="E85" t="str">
        <f>"009940350129"</f>
        <v>009940350129</v>
      </c>
      <c r="F85" s="2">
        <v>44298</v>
      </c>
      <c r="G85">
        <v>202110</v>
      </c>
      <c r="H85" t="s">
        <v>182</v>
      </c>
      <c r="I85" t="s">
        <v>183</v>
      </c>
      <c r="J85" t="s">
        <v>213</v>
      </c>
      <c r="K85" t="s">
        <v>73</v>
      </c>
      <c r="L85" t="s">
        <v>192</v>
      </c>
      <c r="M85" t="s">
        <v>193</v>
      </c>
      <c r="N85" t="s">
        <v>213</v>
      </c>
      <c r="O85" t="s">
        <v>76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36.28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</v>
      </c>
      <c r="BJ85">
        <v>3.6</v>
      </c>
      <c r="BK85">
        <v>4</v>
      </c>
      <c r="BL85">
        <v>190.68</v>
      </c>
      <c r="BM85">
        <v>28.6</v>
      </c>
      <c r="BN85">
        <v>219.28</v>
      </c>
      <c r="BO85">
        <v>219.28</v>
      </c>
      <c r="BQ85" t="s">
        <v>356</v>
      </c>
      <c r="BR85" t="s">
        <v>103</v>
      </c>
      <c r="BS85" s="2">
        <v>44299</v>
      </c>
      <c r="BT85" s="3">
        <v>0.375</v>
      </c>
      <c r="BU85" t="s">
        <v>357</v>
      </c>
      <c r="BV85" t="s">
        <v>90</v>
      </c>
      <c r="BY85">
        <v>18228</v>
      </c>
      <c r="BZ85" t="s">
        <v>81</v>
      </c>
      <c r="CC85" t="s">
        <v>193</v>
      </c>
      <c r="CD85">
        <v>9459</v>
      </c>
      <c r="CE85" t="s">
        <v>80</v>
      </c>
      <c r="CF85" s="2">
        <v>44299</v>
      </c>
      <c r="CI85">
        <v>1</v>
      </c>
      <c r="CJ85">
        <v>1</v>
      </c>
      <c r="CK85">
        <v>23</v>
      </c>
      <c r="CL85" t="s">
        <v>79</v>
      </c>
    </row>
    <row r="86" spans="1:90" x14ac:dyDescent="0.25">
      <c r="A86" t="s">
        <v>211</v>
      </c>
      <c r="B86" t="s">
        <v>212</v>
      </c>
      <c r="C86" t="s">
        <v>72</v>
      </c>
      <c r="E86" t="str">
        <f>"009940684756"</f>
        <v>009940684756</v>
      </c>
      <c r="F86" s="2">
        <v>44295</v>
      </c>
      <c r="G86">
        <v>202110</v>
      </c>
      <c r="H86" t="s">
        <v>199</v>
      </c>
      <c r="I86" t="s">
        <v>200</v>
      </c>
      <c r="J86" t="s">
        <v>213</v>
      </c>
      <c r="K86" t="s">
        <v>73</v>
      </c>
      <c r="L86" t="s">
        <v>192</v>
      </c>
      <c r="M86" t="s">
        <v>193</v>
      </c>
      <c r="N86" t="s">
        <v>218</v>
      </c>
      <c r="O86" t="s">
        <v>100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16.91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93.87</v>
      </c>
      <c r="BM86">
        <v>14.08</v>
      </c>
      <c r="BN86">
        <v>107.95</v>
      </c>
      <c r="BO86">
        <v>107.95</v>
      </c>
      <c r="BQ86" t="s">
        <v>358</v>
      </c>
      <c r="BR86" t="s">
        <v>261</v>
      </c>
      <c r="BS86" s="2">
        <v>44298</v>
      </c>
      <c r="BT86" s="3">
        <v>0.35416666666666669</v>
      </c>
      <c r="BU86" t="s">
        <v>265</v>
      </c>
      <c r="BV86" t="s">
        <v>90</v>
      </c>
      <c r="BY86">
        <v>1200</v>
      </c>
      <c r="CC86" t="s">
        <v>193</v>
      </c>
      <c r="CD86">
        <v>9459</v>
      </c>
      <c r="CE86" t="s">
        <v>80</v>
      </c>
      <c r="CF86" s="2">
        <v>44299</v>
      </c>
      <c r="CI86">
        <v>1</v>
      </c>
      <c r="CJ86">
        <v>1</v>
      </c>
      <c r="CK86" t="s">
        <v>101</v>
      </c>
      <c r="CL86" t="s">
        <v>79</v>
      </c>
    </row>
    <row r="87" spans="1:90" x14ac:dyDescent="0.25">
      <c r="A87" t="s">
        <v>211</v>
      </c>
      <c r="B87" t="s">
        <v>212</v>
      </c>
      <c r="C87" t="s">
        <v>72</v>
      </c>
      <c r="E87" t="str">
        <f>"019911546555"</f>
        <v>019911546555</v>
      </c>
      <c r="F87" s="2">
        <v>44298</v>
      </c>
      <c r="G87">
        <v>202110</v>
      </c>
      <c r="H87" t="s">
        <v>93</v>
      </c>
      <c r="I87" t="s">
        <v>94</v>
      </c>
      <c r="J87" t="s">
        <v>213</v>
      </c>
      <c r="K87" t="s">
        <v>73</v>
      </c>
      <c r="L87" t="s">
        <v>84</v>
      </c>
      <c r="M87" t="s">
        <v>85</v>
      </c>
      <c r="N87" t="s">
        <v>303</v>
      </c>
      <c r="O87" t="s">
        <v>76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9.84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0.1</v>
      </c>
      <c r="BJ87">
        <v>1.9</v>
      </c>
      <c r="BK87">
        <v>2</v>
      </c>
      <c r="BL87">
        <v>51.71</v>
      </c>
      <c r="BM87">
        <v>7.76</v>
      </c>
      <c r="BN87">
        <v>59.47</v>
      </c>
      <c r="BO87">
        <v>59.47</v>
      </c>
      <c r="BQ87" t="s">
        <v>359</v>
      </c>
      <c r="BR87" t="s">
        <v>360</v>
      </c>
      <c r="BS87" s="2">
        <v>44299</v>
      </c>
      <c r="BT87" s="3">
        <v>0.32777777777777778</v>
      </c>
      <c r="BU87" t="s">
        <v>361</v>
      </c>
      <c r="BV87" t="s">
        <v>90</v>
      </c>
      <c r="BY87">
        <v>9714.57</v>
      </c>
      <c r="BZ87" t="s">
        <v>81</v>
      </c>
      <c r="CA87" t="s">
        <v>181</v>
      </c>
      <c r="CC87" t="s">
        <v>85</v>
      </c>
      <c r="CD87">
        <v>2194</v>
      </c>
      <c r="CE87" t="s">
        <v>80</v>
      </c>
      <c r="CF87" s="2">
        <v>44299</v>
      </c>
      <c r="CI87">
        <v>1</v>
      </c>
      <c r="CJ87">
        <v>1</v>
      </c>
      <c r="CK87">
        <v>21</v>
      </c>
      <c r="CL87" t="s">
        <v>79</v>
      </c>
    </row>
    <row r="88" spans="1:90" x14ac:dyDescent="0.25">
      <c r="A88" t="s">
        <v>211</v>
      </c>
      <c r="B88" t="s">
        <v>212</v>
      </c>
      <c r="C88" t="s">
        <v>72</v>
      </c>
      <c r="E88" t="str">
        <f>"009941094069"</f>
        <v>009941094069</v>
      </c>
      <c r="F88" s="2">
        <v>44295</v>
      </c>
      <c r="G88">
        <v>202110</v>
      </c>
      <c r="H88" t="s">
        <v>86</v>
      </c>
      <c r="I88" t="s">
        <v>87</v>
      </c>
      <c r="J88" t="s">
        <v>302</v>
      </c>
      <c r="K88" t="s">
        <v>73</v>
      </c>
      <c r="L88" t="s">
        <v>189</v>
      </c>
      <c r="M88" t="s">
        <v>190</v>
      </c>
      <c r="N88" t="s">
        <v>362</v>
      </c>
      <c r="O88" t="s">
        <v>363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64.790000000000006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39.299999999999997</v>
      </c>
      <c r="BJ88">
        <v>52</v>
      </c>
      <c r="BK88">
        <v>52</v>
      </c>
      <c r="BL88">
        <v>340.49</v>
      </c>
      <c r="BM88">
        <v>51.07</v>
      </c>
      <c r="BN88">
        <v>391.56</v>
      </c>
      <c r="BO88">
        <v>391.56</v>
      </c>
      <c r="BR88" t="s">
        <v>343</v>
      </c>
      <c r="BS88" s="2">
        <v>44301</v>
      </c>
      <c r="BT88" s="3">
        <v>0.37152777777777773</v>
      </c>
      <c r="BU88" t="s">
        <v>364</v>
      </c>
      <c r="BV88" t="s">
        <v>79</v>
      </c>
      <c r="BW88" t="s">
        <v>116</v>
      </c>
      <c r="BX88" t="s">
        <v>365</v>
      </c>
      <c r="BY88">
        <v>208000</v>
      </c>
      <c r="BZ88" t="s">
        <v>144</v>
      </c>
      <c r="CC88" t="s">
        <v>190</v>
      </c>
      <c r="CD88">
        <v>2940</v>
      </c>
      <c r="CE88" t="s">
        <v>80</v>
      </c>
      <c r="CF88" s="2">
        <v>44302</v>
      </c>
      <c r="CI88">
        <v>1</v>
      </c>
      <c r="CJ88">
        <v>4</v>
      </c>
      <c r="CK88">
        <v>43</v>
      </c>
      <c r="CL88" t="s">
        <v>79</v>
      </c>
    </row>
    <row r="89" spans="1:90" x14ac:dyDescent="0.25">
      <c r="A89" t="s">
        <v>211</v>
      </c>
      <c r="B89" t="s">
        <v>212</v>
      </c>
      <c r="C89" t="s">
        <v>72</v>
      </c>
      <c r="E89" t="str">
        <f>"080010087742"</f>
        <v>080010087742</v>
      </c>
      <c r="F89" s="2">
        <v>44298</v>
      </c>
      <c r="G89">
        <v>202110</v>
      </c>
      <c r="H89" t="s">
        <v>84</v>
      </c>
      <c r="I89" t="s">
        <v>85</v>
      </c>
      <c r="J89" t="s">
        <v>366</v>
      </c>
      <c r="K89" t="s">
        <v>73</v>
      </c>
      <c r="L89" t="s">
        <v>93</v>
      </c>
      <c r="M89" t="s">
        <v>94</v>
      </c>
      <c r="N89" t="s">
        <v>367</v>
      </c>
      <c r="O89" t="s">
        <v>76</v>
      </c>
      <c r="P89" t="str">
        <f>"-                             "</f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9.84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1.9</v>
      </c>
      <c r="BK89">
        <v>2</v>
      </c>
      <c r="BL89">
        <v>51.71</v>
      </c>
      <c r="BM89">
        <v>7.76</v>
      </c>
      <c r="BN89">
        <v>59.47</v>
      </c>
      <c r="BO89">
        <v>59.47</v>
      </c>
      <c r="BP89" t="s">
        <v>77</v>
      </c>
      <c r="BQ89" t="s">
        <v>368</v>
      </c>
      <c r="BR89" t="s">
        <v>369</v>
      </c>
      <c r="BS89" s="2">
        <v>44299</v>
      </c>
      <c r="BT89" s="3">
        <v>0.35486111111111113</v>
      </c>
      <c r="BU89" t="s">
        <v>142</v>
      </c>
      <c r="BV89" t="s">
        <v>90</v>
      </c>
      <c r="BY89">
        <v>9664.52</v>
      </c>
      <c r="CA89" t="s">
        <v>125</v>
      </c>
      <c r="CC89" t="s">
        <v>94</v>
      </c>
      <c r="CD89">
        <v>7700</v>
      </c>
      <c r="CE89" t="s">
        <v>78</v>
      </c>
      <c r="CF89" s="2">
        <v>44300</v>
      </c>
      <c r="CI89">
        <v>1</v>
      </c>
      <c r="CJ89">
        <v>1</v>
      </c>
      <c r="CK89">
        <v>21</v>
      </c>
      <c r="CL89" t="s">
        <v>79</v>
      </c>
    </row>
    <row r="90" spans="1:90" x14ac:dyDescent="0.25">
      <c r="A90" t="s">
        <v>211</v>
      </c>
      <c r="B90" t="s">
        <v>212</v>
      </c>
      <c r="C90" t="s">
        <v>72</v>
      </c>
      <c r="E90" t="str">
        <f>"080010088286"</f>
        <v>080010088286</v>
      </c>
      <c r="F90" s="2">
        <v>44298</v>
      </c>
      <c r="G90">
        <v>202110</v>
      </c>
      <c r="H90" t="s">
        <v>84</v>
      </c>
      <c r="I90" t="s">
        <v>85</v>
      </c>
      <c r="J90" t="s">
        <v>366</v>
      </c>
      <c r="K90" t="s">
        <v>73</v>
      </c>
      <c r="L90" t="s">
        <v>86</v>
      </c>
      <c r="M90" t="s">
        <v>87</v>
      </c>
      <c r="N90" t="s">
        <v>302</v>
      </c>
      <c r="O90" t="s">
        <v>76</v>
      </c>
      <c r="P90" t="str">
        <f>"-                             "</f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12.3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2.4</v>
      </c>
      <c r="BK90">
        <v>2.5</v>
      </c>
      <c r="BL90">
        <v>64.63</v>
      </c>
      <c r="BM90">
        <v>9.69</v>
      </c>
      <c r="BN90">
        <v>74.319999999999993</v>
      </c>
      <c r="BO90">
        <v>74.319999999999993</v>
      </c>
      <c r="BP90" t="s">
        <v>77</v>
      </c>
      <c r="BQ90" t="s">
        <v>370</v>
      </c>
      <c r="BR90" t="s">
        <v>369</v>
      </c>
      <c r="BS90" s="2">
        <v>44299</v>
      </c>
      <c r="BT90" s="3">
        <v>0.3611111111111111</v>
      </c>
      <c r="BU90" t="s">
        <v>329</v>
      </c>
      <c r="BV90" t="s">
        <v>90</v>
      </c>
      <c r="BY90">
        <v>12120.48</v>
      </c>
      <c r="CA90" t="s">
        <v>112</v>
      </c>
      <c r="CC90" t="s">
        <v>87</v>
      </c>
      <c r="CD90">
        <v>4091</v>
      </c>
      <c r="CE90" t="s">
        <v>78</v>
      </c>
      <c r="CF90" s="2">
        <v>44299</v>
      </c>
      <c r="CI90">
        <v>1</v>
      </c>
      <c r="CJ90">
        <v>1</v>
      </c>
      <c r="CK90">
        <v>21</v>
      </c>
      <c r="CL90" t="s">
        <v>79</v>
      </c>
    </row>
    <row r="91" spans="1:90" x14ac:dyDescent="0.25">
      <c r="A91" t="s">
        <v>211</v>
      </c>
      <c r="B91" t="s">
        <v>212</v>
      </c>
      <c r="C91" t="s">
        <v>72</v>
      </c>
      <c r="E91" t="str">
        <f>"009940885757"</f>
        <v>009940885757</v>
      </c>
      <c r="F91" s="2">
        <v>44298</v>
      </c>
      <c r="G91">
        <v>202110</v>
      </c>
      <c r="H91" t="s">
        <v>171</v>
      </c>
      <c r="I91" t="s">
        <v>172</v>
      </c>
      <c r="J91" t="s">
        <v>213</v>
      </c>
      <c r="K91" t="s">
        <v>73</v>
      </c>
      <c r="L91" t="s">
        <v>74</v>
      </c>
      <c r="M91" t="s">
        <v>75</v>
      </c>
      <c r="N91" t="s">
        <v>213</v>
      </c>
      <c r="O91" t="s">
        <v>100</v>
      </c>
      <c r="P91" t="str">
        <f>"                              "</f>
        <v xml:space="preserve"> 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95.33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3</v>
      </c>
      <c r="BI91">
        <v>90</v>
      </c>
      <c r="BJ91">
        <v>129</v>
      </c>
      <c r="BK91">
        <v>129</v>
      </c>
      <c r="BL91">
        <v>506.01</v>
      </c>
      <c r="BM91">
        <v>75.900000000000006</v>
      </c>
      <c r="BN91">
        <v>581.91</v>
      </c>
      <c r="BO91">
        <v>581.91</v>
      </c>
      <c r="BS91" s="2">
        <v>44299</v>
      </c>
      <c r="BT91" s="3">
        <v>0.37013888888888885</v>
      </c>
      <c r="BU91" t="s">
        <v>115</v>
      </c>
      <c r="BV91" t="s">
        <v>90</v>
      </c>
      <c r="BY91">
        <v>215040</v>
      </c>
      <c r="CA91" t="s">
        <v>237</v>
      </c>
      <c r="CC91" t="s">
        <v>75</v>
      </c>
      <c r="CD91">
        <v>2196</v>
      </c>
      <c r="CE91" t="s">
        <v>80</v>
      </c>
      <c r="CF91" s="2">
        <v>44299</v>
      </c>
      <c r="CI91">
        <v>1</v>
      </c>
      <c r="CJ91">
        <v>1</v>
      </c>
      <c r="CK91" t="s">
        <v>168</v>
      </c>
      <c r="CL91" t="s">
        <v>79</v>
      </c>
    </row>
    <row r="92" spans="1:90" x14ac:dyDescent="0.25">
      <c r="A92" t="s">
        <v>211</v>
      </c>
      <c r="B92" t="s">
        <v>212</v>
      </c>
      <c r="C92" t="s">
        <v>72</v>
      </c>
      <c r="E92" t="str">
        <f>"009940177490"</f>
        <v>009940177490</v>
      </c>
      <c r="F92" s="2">
        <v>44298</v>
      </c>
      <c r="G92">
        <v>202110</v>
      </c>
      <c r="H92" t="s">
        <v>108</v>
      </c>
      <c r="I92" t="s">
        <v>109</v>
      </c>
      <c r="J92" t="s">
        <v>213</v>
      </c>
      <c r="K92" t="s">
        <v>73</v>
      </c>
      <c r="L92" t="s">
        <v>74</v>
      </c>
      <c r="M92" t="s">
        <v>75</v>
      </c>
      <c r="N92" t="s">
        <v>257</v>
      </c>
      <c r="O92" t="s">
        <v>100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16.91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2.5</v>
      </c>
      <c r="BJ92">
        <v>5.8</v>
      </c>
      <c r="BK92">
        <v>6</v>
      </c>
      <c r="BL92">
        <v>93.87</v>
      </c>
      <c r="BM92">
        <v>14.08</v>
      </c>
      <c r="BN92">
        <v>107.95</v>
      </c>
      <c r="BO92">
        <v>107.95</v>
      </c>
      <c r="BQ92" t="s">
        <v>371</v>
      </c>
      <c r="BR92" t="s">
        <v>242</v>
      </c>
      <c r="BS92" s="2">
        <v>44299</v>
      </c>
      <c r="BT92" s="3">
        <v>0.37013888888888885</v>
      </c>
      <c r="BU92" t="s">
        <v>115</v>
      </c>
      <c r="BV92" t="s">
        <v>90</v>
      </c>
      <c r="BY92">
        <v>29187</v>
      </c>
      <c r="CA92" t="s">
        <v>237</v>
      </c>
      <c r="CC92" t="s">
        <v>75</v>
      </c>
      <c r="CD92">
        <v>2196</v>
      </c>
      <c r="CE92" t="s">
        <v>80</v>
      </c>
      <c r="CF92" s="2">
        <v>44299</v>
      </c>
      <c r="CI92">
        <v>1</v>
      </c>
      <c r="CJ92">
        <v>1</v>
      </c>
      <c r="CK92" t="s">
        <v>101</v>
      </c>
      <c r="CL92" t="s">
        <v>79</v>
      </c>
    </row>
    <row r="93" spans="1:90" x14ac:dyDescent="0.25">
      <c r="A93" t="s">
        <v>211</v>
      </c>
      <c r="B93" t="s">
        <v>212</v>
      </c>
      <c r="C93" t="s">
        <v>72</v>
      </c>
      <c r="E93" t="str">
        <f>"009940956801"</f>
        <v>009940956801</v>
      </c>
      <c r="F93" s="2">
        <v>44295</v>
      </c>
      <c r="G93">
        <v>202110</v>
      </c>
      <c r="H93" t="s">
        <v>182</v>
      </c>
      <c r="I93" t="s">
        <v>183</v>
      </c>
      <c r="J93" t="s">
        <v>213</v>
      </c>
      <c r="K93" t="s">
        <v>73</v>
      </c>
      <c r="L93" t="s">
        <v>98</v>
      </c>
      <c r="M93" t="s">
        <v>99</v>
      </c>
      <c r="N93" t="s">
        <v>213</v>
      </c>
      <c r="O93" t="s">
        <v>100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18.45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2.4</v>
      </c>
      <c r="BK93">
        <v>3</v>
      </c>
      <c r="BL93">
        <v>101.95</v>
      </c>
      <c r="BM93">
        <v>15.29</v>
      </c>
      <c r="BN93">
        <v>117.24</v>
      </c>
      <c r="BO93">
        <v>117.24</v>
      </c>
      <c r="BQ93" t="s">
        <v>372</v>
      </c>
      <c r="BR93" t="s">
        <v>215</v>
      </c>
      <c r="BS93" s="2">
        <v>44298</v>
      </c>
      <c r="BT93" s="3">
        <v>0.37222222222222223</v>
      </c>
      <c r="BU93" t="s">
        <v>234</v>
      </c>
      <c r="BV93" t="s">
        <v>90</v>
      </c>
      <c r="BY93">
        <v>11766.39</v>
      </c>
      <c r="CA93" t="s">
        <v>208</v>
      </c>
      <c r="CC93" t="s">
        <v>99</v>
      </c>
      <c r="CD93">
        <v>1034</v>
      </c>
      <c r="CE93" t="s">
        <v>80</v>
      </c>
      <c r="CF93" s="2">
        <v>44298</v>
      </c>
      <c r="CI93">
        <v>1</v>
      </c>
      <c r="CJ93">
        <v>1</v>
      </c>
      <c r="CK93" t="s">
        <v>168</v>
      </c>
      <c r="CL93" t="s">
        <v>79</v>
      </c>
    </row>
    <row r="94" spans="1:90" x14ac:dyDescent="0.25">
      <c r="A94" t="s">
        <v>211</v>
      </c>
      <c r="B94" t="s">
        <v>212</v>
      </c>
      <c r="C94" t="s">
        <v>72</v>
      </c>
      <c r="E94" t="str">
        <f>"009940501180"</f>
        <v>009940501180</v>
      </c>
      <c r="F94" s="2">
        <v>44298</v>
      </c>
      <c r="G94">
        <v>202110</v>
      </c>
      <c r="H94" t="s">
        <v>287</v>
      </c>
      <c r="I94" t="s">
        <v>288</v>
      </c>
      <c r="J94" t="s">
        <v>213</v>
      </c>
      <c r="K94" t="s">
        <v>73</v>
      </c>
      <c r="L94" t="s">
        <v>108</v>
      </c>
      <c r="M94" t="s">
        <v>109</v>
      </c>
      <c r="N94" t="s">
        <v>213</v>
      </c>
      <c r="O94" t="s">
        <v>100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79.16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2</v>
      </c>
      <c r="BI94">
        <v>42</v>
      </c>
      <c r="BJ94">
        <v>53.4</v>
      </c>
      <c r="BK94">
        <v>54</v>
      </c>
      <c r="BL94">
        <v>421</v>
      </c>
      <c r="BM94">
        <v>63.15</v>
      </c>
      <c r="BN94">
        <v>484.15</v>
      </c>
      <c r="BO94">
        <v>484.15</v>
      </c>
      <c r="BQ94" t="s">
        <v>242</v>
      </c>
      <c r="BR94" t="s">
        <v>289</v>
      </c>
      <c r="BS94" s="2">
        <v>44300</v>
      </c>
      <c r="BT94" s="3">
        <v>0.36249999999999999</v>
      </c>
      <c r="BU94" t="s">
        <v>244</v>
      </c>
      <c r="BV94" t="s">
        <v>79</v>
      </c>
      <c r="BW94" t="s">
        <v>110</v>
      </c>
      <c r="BX94" t="s">
        <v>111</v>
      </c>
      <c r="BY94">
        <v>267136</v>
      </c>
      <c r="CA94" t="s">
        <v>158</v>
      </c>
      <c r="CC94" t="s">
        <v>109</v>
      </c>
      <c r="CD94">
        <v>300</v>
      </c>
      <c r="CE94" t="s">
        <v>92</v>
      </c>
      <c r="CF94" s="2">
        <v>44302</v>
      </c>
      <c r="CI94">
        <v>1</v>
      </c>
      <c r="CJ94">
        <v>2</v>
      </c>
      <c r="CK94" t="s">
        <v>196</v>
      </c>
      <c r="CL94" t="s">
        <v>79</v>
      </c>
    </row>
    <row r="95" spans="1:90" x14ac:dyDescent="0.25">
      <c r="A95" t="s">
        <v>211</v>
      </c>
      <c r="B95" t="s">
        <v>212</v>
      </c>
      <c r="C95" t="s">
        <v>72</v>
      </c>
      <c r="E95" t="str">
        <f>"080010088279"</f>
        <v>080010088279</v>
      </c>
      <c r="F95" s="2">
        <v>44298</v>
      </c>
      <c r="G95">
        <v>202110</v>
      </c>
      <c r="H95" t="s">
        <v>84</v>
      </c>
      <c r="I95" t="s">
        <v>85</v>
      </c>
      <c r="J95" t="s">
        <v>366</v>
      </c>
      <c r="K95" t="s">
        <v>73</v>
      </c>
      <c r="L95" t="s">
        <v>108</v>
      </c>
      <c r="M95" t="s">
        <v>109</v>
      </c>
      <c r="N95" t="s">
        <v>354</v>
      </c>
      <c r="O95" t="s">
        <v>76</v>
      </c>
      <c r="P95" t="str">
        <f>"-                             "</f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19.059999999999999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100.18</v>
      </c>
      <c r="BM95">
        <v>15.03</v>
      </c>
      <c r="BN95">
        <v>115.21</v>
      </c>
      <c r="BO95">
        <v>115.21</v>
      </c>
      <c r="BP95" t="s">
        <v>77</v>
      </c>
      <c r="BQ95" t="s">
        <v>373</v>
      </c>
      <c r="BR95" t="s">
        <v>369</v>
      </c>
      <c r="BS95" s="2">
        <v>44299</v>
      </c>
      <c r="BT95" s="3">
        <v>0.39444444444444443</v>
      </c>
      <c r="BU95" t="s">
        <v>244</v>
      </c>
      <c r="BV95" t="s">
        <v>90</v>
      </c>
      <c r="BY95">
        <v>1200</v>
      </c>
      <c r="CA95" t="s">
        <v>158</v>
      </c>
      <c r="CC95" t="s">
        <v>109</v>
      </c>
      <c r="CD95">
        <v>299</v>
      </c>
      <c r="CE95" t="s">
        <v>80</v>
      </c>
      <c r="CF95" s="2">
        <v>44299</v>
      </c>
      <c r="CI95">
        <v>1</v>
      </c>
      <c r="CJ95">
        <v>1</v>
      </c>
      <c r="CK95">
        <v>23</v>
      </c>
      <c r="CL95" t="s">
        <v>79</v>
      </c>
    </row>
    <row r="96" spans="1:90" x14ac:dyDescent="0.25">
      <c r="A96" t="s">
        <v>211</v>
      </c>
      <c r="B96" t="s">
        <v>212</v>
      </c>
      <c r="C96" t="s">
        <v>72</v>
      </c>
      <c r="E96" t="str">
        <f>"009940090587"</f>
        <v>009940090587</v>
      </c>
      <c r="F96" s="2">
        <v>44298</v>
      </c>
      <c r="G96">
        <v>202110</v>
      </c>
      <c r="H96" t="s">
        <v>182</v>
      </c>
      <c r="I96" t="s">
        <v>183</v>
      </c>
      <c r="J96" t="s">
        <v>213</v>
      </c>
      <c r="K96" t="s">
        <v>73</v>
      </c>
      <c r="L96" t="s">
        <v>197</v>
      </c>
      <c r="M96" t="s">
        <v>198</v>
      </c>
      <c r="N96" t="s">
        <v>213</v>
      </c>
      <c r="O96" t="s">
        <v>76</v>
      </c>
      <c r="P96" t="str">
        <f>"LOCKTS                        "</f>
        <v xml:space="preserve">LOCKTS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9.84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0.5</v>
      </c>
      <c r="BJ96">
        <v>1.9</v>
      </c>
      <c r="BK96">
        <v>2</v>
      </c>
      <c r="BL96">
        <v>51.71</v>
      </c>
      <c r="BM96">
        <v>7.76</v>
      </c>
      <c r="BN96">
        <v>59.47</v>
      </c>
      <c r="BO96">
        <v>59.47</v>
      </c>
      <c r="BQ96" t="s">
        <v>374</v>
      </c>
      <c r="BR96" t="s">
        <v>375</v>
      </c>
      <c r="BS96" s="2">
        <v>44299</v>
      </c>
      <c r="BT96" s="3">
        <v>0.60277777777777775</v>
      </c>
      <c r="BU96" t="s">
        <v>175</v>
      </c>
      <c r="BV96" t="s">
        <v>79</v>
      </c>
      <c r="BY96">
        <v>9579</v>
      </c>
      <c r="BZ96" t="s">
        <v>81</v>
      </c>
      <c r="CA96" t="s">
        <v>376</v>
      </c>
      <c r="CC96" t="s">
        <v>198</v>
      </c>
      <c r="CD96">
        <v>1200</v>
      </c>
      <c r="CE96" t="s">
        <v>80</v>
      </c>
      <c r="CF96" s="2">
        <v>44300</v>
      </c>
      <c r="CI96">
        <v>1</v>
      </c>
      <c r="CJ96">
        <v>1</v>
      </c>
      <c r="CK96">
        <v>21</v>
      </c>
      <c r="CL96" t="s">
        <v>79</v>
      </c>
    </row>
    <row r="97" spans="1:90" x14ac:dyDescent="0.25">
      <c r="A97" t="s">
        <v>211</v>
      </c>
      <c r="B97" t="s">
        <v>212</v>
      </c>
      <c r="C97" t="s">
        <v>72</v>
      </c>
      <c r="E97" t="str">
        <f>"009940350128"</f>
        <v>009940350128</v>
      </c>
      <c r="F97" s="2">
        <v>44298</v>
      </c>
      <c r="G97">
        <v>202110</v>
      </c>
      <c r="H97" t="s">
        <v>182</v>
      </c>
      <c r="I97" t="s">
        <v>183</v>
      </c>
      <c r="J97" t="s">
        <v>213</v>
      </c>
      <c r="K97" t="s">
        <v>73</v>
      </c>
      <c r="L97" t="s">
        <v>192</v>
      </c>
      <c r="M97" t="s">
        <v>193</v>
      </c>
      <c r="N97" t="s">
        <v>213</v>
      </c>
      <c r="O97" t="s">
        <v>76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113.78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12.9</v>
      </c>
      <c r="BJ97">
        <v>10.3</v>
      </c>
      <c r="BK97">
        <v>13</v>
      </c>
      <c r="BL97">
        <v>597.94000000000005</v>
      </c>
      <c r="BM97">
        <v>89.69</v>
      </c>
      <c r="BN97">
        <v>687.63</v>
      </c>
      <c r="BO97">
        <v>687.63</v>
      </c>
      <c r="BQ97" t="s">
        <v>358</v>
      </c>
      <c r="BR97" t="s">
        <v>235</v>
      </c>
      <c r="BS97" s="2">
        <v>44299</v>
      </c>
      <c r="BT97" s="3">
        <v>0.375</v>
      </c>
      <c r="BU97" t="s">
        <v>377</v>
      </c>
      <c r="BV97" t="s">
        <v>90</v>
      </c>
      <c r="BY97">
        <v>51442.95</v>
      </c>
      <c r="BZ97" t="s">
        <v>81</v>
      </c>
      <c r="CC97" t="s">
        <v>193</v>
      </c>
      <c r="CD97">
        <v>9459</v>
      </c>
      <c r="CE97" t="s">
        <v>80</v>
      </c>
      <c r="CF97" s="2">
        <v>44299</v>
      </c>
      <c r="CI97">
        <v>1</v>
      </c>
      <c r="CJ97">
        <v>1</v>
      </c>
      <c r="CK97">
        <v>23</v>
      </c>
      <c r="CL97" t="s">
        <v>79</v>
      </c>
    </row>
    <row r="98" spans="1:90" x14ac:dyDescent="0.25">
      <c r="A98" t="s">
        <v>211</v>
      </c>
      <c r="B98" t="s">
        <v>212</v>
      </c>
      <c r="C98" t="s">
        <v>72</v>
      </c>
      <c r="E98" t="str">
        <f>"009939946710"</f>
        <v>009939946710</v>
      </c>
      <c r="F98" s="2">
        <v>44298</v>
      </c>
      <c r="G98">
        <v>202110</v>
      </c>
      <c r="H98" t="s">
        <v>86</v>
      </c>
      <c r="I98" t="s">
        <v>87</v>
      </c>
      <c r="J98" t="s">
        <v>302</v>
      </c>
      <c r="K98" t="s">
        <v>73</v>
      </c>
      <c r="L98" t="s">
        <v>182</v>
      </c>
      <c r="M98" t="s">
        <v>183</v>
      </c>
      <c r="N98" t="s">
        <v>213</v>
      </c>
      <c r="O98" t="s">
        <v>100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19.12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2</v>
      </c>
      <c r="BI98">
        <v>16</v>
      </c>
      <c r="BJ98">
        <v>13.9</v>
      </c>
      <c r="BK98">
        <v>16</v>
      </c>
      <c r="BL98">
        <v>105.49</v>
      </c>
      <c r="BM98">
        <v>15.82</v>
      </c>
      <c r="BN98">
        <v>121.31</v>
      </c>
      <c r="BO98">
        <v>121.31</v>
      </c>
      <c r="BQ98" t="s">
        <v>378</v>
      </c>
      <c r="BR98" t="s">
        <v>379</v>
      </c>
      <c r="BS98" s="2">
        <v>44299</v>
      </c>
      <c r="BT98" s="3">
        <v>0.37013888888888885</v>
      </c>
      <c r="BU98" t="s">
        <v>115</v>
      </c>
      <c r="BV98" t="s">
        <v>90</v>
      </c>
      <c r="BY98">
        <v>69624</v>
      </c>
      <c r="CA98" t="s">
        <v>237</v>
      </c>
      <c r="CC98" t="s">
        <v>183</v>
      </c>
      <c r="CD98">
        <v>2146</v>
      </c>
      <c r="CE98" t="s">
        <v>80</v>
      </c>
      <c r="CF98" s="2">
        <v>44299</v>
      </c>
      <c r="CI98">
        <v>1</v>
      </c>
      <c r="CJ98">
        <v>1</v>
      </c>
      <c r="CK98" t="s">
        <v>184</v>
      </c>
      <c r="CL98" t="s">
        <v>79</v>
      </c>
    </row>
    <row r="99" spans="1:90" x14ac:dyDescent="0.25">
      <c r="A99" t="s">
        <v>211</v>
      </c>
      <c r="B99" t="s">
        <v>212</v>
      </c>
      <c r="C99" t="s">
        <v>72</v>
      </c>
      <c r="E99" t="str">
        <f>"009940956606"</f>
        <v>009940956606</v>
      </c>
      <c r="F99" s="2">
        <v>44298</v>
      </c>
      <c r="G99">
        <v>202110</v>
      </c>
      <c r="H99" t="s">
        <v>182</v>
      </c>
      <c r="I99" t="s">
        <v>183</v>
      </c>
      <c r="J99" t="s">
        <v>213</v>
      </c>
      <c r="K99" t="s">
        <v>73</v>
      </c>
      <c r="L99" t="s">
        <v>108</v>
      </c>
      <c r="M99" t="s">
        <v>109</v>
      </c>
      <c r="N99" t="s">
        <v>213</v>
      </c>
      <c r="O99" t="s">
        <v>100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18.45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11.3</v>
      </c>
      <c r="BJ99">
        <v>11</v>
      </c>
      <c r="BK99">
        <v>12</v>
      </c>
      <c r="BL99">
        <v>101.95</v>
      </c>
      <c r="BM99">
        <v>15.29</v>
      </c>
      <c r="BN99">
        <v>117.24</v>
      </c>
      <c r="BO99">
        <v>117.24</v>
      </c>
      <c r="BQ99" t="s">
        <v>355</v>
      </c>
      <c r="BR99" t="s">
        <v>380</v>
      </c>
      <c r="BS99" s="2">
        <v>44299</v>
      </c>
      <c r="BT99" s="3">
        <v>0.39583333333333331</v>
      </c>
      <c r="BU99" t="s">
        <v>244</v>
      </c>
      <c r="BV99" t="s">
        <v>90</v>
      </c>
      <c r="BY99">
        <v>55072.12</v>
      </c>
      <c r="CA99" t="s">
        <v>158</v>
      </c>
      <c r="CC99" t="s">
        <v>109</v>
      </c>
      <c r="CD99">
        <v>299</v>
      </c>
      <c r="CE99" t="s">
        <v>80</v>
      </c>
      <c r="CF99" s="2">
        <v>44299</v>
      </c>
      <c r="CI99">
        <v>1</v>
      </c>
      <c r="CJ99">
        <v>1</v>
      </c>
      <c r="CK99" t="s">
        <v>168</v>
      </c>
      <c r="CL99" t="s">
        <v>79</v>
      </c>
    </row>
    <row r="100" spans="1:90" x14ac:dyDescent="0.25">
      <c r="A100" t="s">
        <v>211</v>
      </c>
      <c r="B100" t="s">
        <v>212</v>
      </c>
      <c r="C100" t="s">
        <v>72</v>
      </c>
      <c r="E100" t="str">
        <f>"009940350118"</f>
        <v>009940350118</v>
      </c>
      <c r="F100" s="2">
        <v>44298</v>
      </c>
      <c r="G100">
        <v>202110</v>
      </c>
      <c r="H100" t="s">
        <v>182</v>
      </c>
      <c r="I100" t="s">
        <v>183</v>
      </c>
      <c r="J100" t="s">
        <v>213</v>
      </c>
      <c r="K100" t="s">
        <v>73</v>
      </c>
      <c r="L100" t="s">
        <v>119</v>
      </c>
      <c r="M100" t="s">
        <v>120</v>
      </c>
      <c r="N100" t="s">
        <v>213</v>
      </c>
      <c r="O100" t="s">
        <v>100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185.26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3</v>
      </c>
      <c r="BI100">
        <v>83</v>
      </c>
      <c r="BJ100">
        <v>129</v>
      </c>
      <c r="BK100">
        <v>129</v>
      </c>
      <c r="BL100">
        <v>978.6</v>
      </c>
      <c r="BM100">
        <v>146.79</v>
      </c>
      <c r="BN100">
        <v>1125.3900000000001</v>
      </c>
      <c r="BO100">
        <v>1125.3900000000001</v>
      </c>
      <c r="BQ100" t="s">
        <v>103</v>
      </c>
      <c r="BR100" t="s">
        <v>103</v>
      </c>
      <c r="BS100" s="2">
        <v>44300</v>
      </c>
      <c r="BT100" s="3">
        <v>0.35416666666666669</v>
      </c>
      <c r="BU100" t="s">
        <v>381</v>
      </c>
      <c r="BV100" t="s">
        <v>90</v>
      </c>
      <c r="BY100">
        <v>398024</v>
      </c>
      <c r="CC100" t="s">
        <v>120</v>
      </c>
      <c r="CD100">
        <v>6530</v>
      </c>
      <c r="CE100" t="s">
        <v>80</v>
      </c>
      <c r="CF100" s="2">
        <v>44301</v>
      </c>
      <c r="CI100">
        <v>0</v>
      </c>
      <c r="CJ100">
        <v>0</v>
      </c>
      <c r="CK100" t="s">
        <v>135</v>
      </c>
      <c r="CL100" t="s">
        <v>79</v>
      </c>
    </row>
    <row r="101" spans="1:90" x14ac:dyDescent="0.25">
      <c r="A101" t="s">
        <v>211</v>
      </c>
      <c r="B101" t="s">
        <v>212</v>
      </c>
      <c r="C101" t="s">
        <v>72</v>
      </c>
      <c r="E101" t="str">
        <f>"009940956529"</f>
        <v>009940956529</v>
      </c>
      <c r="F101" s="2">
        <v>44299</v>
      </c>
      <c r="G101">
        <v>202110</v>
      </c>
      <c r="H101" t="s">
        <v>182</v>
      </c>
      <c r="I101" t="s">
        <v>183</v>
      </c>
      <c r="J101" t="s">
        <v>213</v>
      </c>
      <c r="K101" t="s">
        <v>73</v>
      </c>
      <c r="L101" t="s">
        <v>86</v>
      </c>
      <c r="M101" t="s">
        <v>87</v>
      </c>
      <c r="N101" t="s">
        <v>260</v>
      </c>
      <c r="O101" t="s">
        <v>100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14.42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15.6</v>
      </c>
      <c r="BJ101">
        <v>10.8</v>
      </c>
      <c r="BK101">
        <v>16</v>
      </c>
      <c r="BL101">
        <v>80.78</v>
      </c>
      <c r="BM101">
        <v>12.12</v>
      </c>
      <c r="BN101">
        <v>92.9</v>
      </c>
      <c r="BO101">
        <v>92.9</v>
      </c>
      <c r="BQ101" t="s">
        <v>103</v>
      </c>
      <c r="BR101" t="s">
        <v>103</v>
      </c>
      <c r="BS101" s="2">
        <v>44301</v>
      </c>
      <c r="BT101" s="3">
        <v>0.51180555555555551</v>
      </c>
      <c r="BU101" t="s">
        <v>382</v>
      </c>
      <c r="BV101" t="s">
        <v>79</v>
      </c>
      <c r="BW101" t="s">
        <v>105</v>
      </c>
      <c r="BX101" t="s">
        <v>106</v>
      </c>
      <c r="BY101">
        <v>54217.24</v>
      </c>
      <c r="CA101" t="s">
        <v>228</v>
      </c>
      <c r="CC101" t="s">
        <v>87</v>
      </c>
      <c r="CD101">
        <v>4091</v>
      </c>
      <c r="CE101" t="s">
        <v>80</v>
      </c>
      <c r="CF101" s="2">
        <v>44301</v>
      </c>
      <c r="CI101">
        <v>1</v>
      </c>
      <c r="CJ101">
        <v>2</v>
      </c>
      <c r="CK101" t="s">
        <v>102</v>
      </c>
      <c r="CL101" t="s">
        <v>79</v>
      </c>
    </row>
    <row r="102" spans="1:90" x14ac:dyDescent="0.25">
      <c r="A102" t="s">
        <v>211</v>
      </c>
      <c r="B102" t="s">
        <v>212</v>
      </c>
      <c r="C102" t="s">
        <v>72</v>
      </c>
      <c r="E102" t="str">
        <f>"009940746383"</f>
        <v>009940746383</v>
      </c>
      <c r="F102" s="2">
        <v>44299</v>
      </c>
      <c r="G102">
        <v>202110</v>
      </c>
      <c r="H102" t="s">
        <v>93</v>
      </c>
      <c r="I102" t="s">
        <v>94</v>
      </c>
      <c r="J102" t="s">
        <v>213</v>
      </c>
      <c r="K102" t="s">
        <v>73</v>
      </c>
      <c r="L102" t="s">
        <v>182</v>
      </c>
      <c r="M102" t="s">
        <v>183</v>
      </c>
      <c r="N102" t="s">
        <v>213</v>
      </c>
      <c r="O102" t="s">
        <v>100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57.23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3</v>
      </c>
      <c r="BI102">
        <v>55.7</v>
      </c>
      <c r="BJ102">
        <v>57.4</v>
      </c>
      <c r="BK102">
        <v>58</v>
      </c>
      <c r="BL102">
        <v>305.75</v>
      </c>
      <c r="BM102">
        <v>45.86</v>
      </c>
      <c r="BN102">
        <v>351.61</v>
      </c>
      <c r="BO102">
        <v>351.61</v>
      </c>
      <c r="BQ102" t="s">
        <v>286</v>
      </c>
      <c r="BR102" t="s">
        <v>263</v>
      </c>
      <c r="BS102" s="2">
        <v>44301</v>
      </c>
      <c r="BT102" s="3">
        <v>0.45555555555555555</v>
      </c>
      <c r="BU102" t="s">
        <v>115</v>
      </c>
      <c r="BV102" t="s">
        <v>90</v>
      </c>
      <c r="BY102">
        <v>287193.98</v>
      </c>
      <c r="CA102" t="s">
        <v>237</v>
      </c>
      <c r="CC102" t="s">
        <v>183</v>
      </c>
      <c r="CD102">
        <v>2146</v>
      </c>
      <c r="CE102" t="s">
        <v>80</v>
      </c>
      <c r="CF102" s="2">
        <v>44302</v>
      </c>
      <c r="CI102">
        <v>2</v>
      </c>
      <c r="CJ102">
        <v>2</v>
      </c>
      <c r="CK102" t="s">
        <v>134</v>
      </c>
      <c r="CL102" t="s">
        <v>79</v>
      </c>
    </row>
    <row r="103" spans="1:90" x14ac:dyDescent="0.25">
      <c r="A103" t="s">
        <v>211</v>
      </c>
      <c r="B103" t="s">
        <v>212</v>
      </c>
      <c r="C103" t="s">
        <v>72</v>
      </c>
      <c r="E103" t="str">
        <f>"009940957394"</f>
        <v>009940957394</v>
      </c>
      <c r="F103" s="2">
        <v>44299</v>
      </c>
      <c r="G103">
        <v>202110</v>
      </c>
      <c r="H103" t="s">
        <v>182</v>
      </c>
      <c r="I103" t="s">
        <v>183</v>
      </c>
      <c r="J103" t="s">
        <v>213</v>
      </c>
      <c r="K103" t="s">
        <v>73</v>
      </c>
      <c r="L103" t="s">
        <v>93</v>
      </c>
      <c r="M103" t="s">
        <v>94</v>
      </c>
      <c r="N103" t="s">
        <v>213</v>
      </c>
      <c r="O103" t="s">
        <v>76</v>
      </c>
      <c r="P103" t="str">
        <f t="shared" ref="P103:P110" si="3">"STORES                        "</f>
        <v xml:space="preserve">STORES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9.84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0.5</v>
      </c>
      <c r="BJ103">
        <v>0.2</v>
      </c>
      <c r="BK103">
        <v>0.5</v>
      </c>
      <c r="BL103">
        <v>51.71</v>
      </c>
      <c r="BM103">
        <v>7.76</v>
      </c>
      <c r="BN103">
        <v>59.47</v>
      </c>
      <c r="BO103">
        <v>59.47</v>
      </c>
      <c r="BQ103" t="s">
        <v>103</v>
      </c>
      <c r="BR103" t="s">
        <v>215</v>
      </c>
      <c r="BS103" s="2">
        <v>44300</v>
      </c>
      <c r="BT103" s="3">
        <v>0.36805555555555558</v>
      </c>
      <c r="BU103" t="s">
        <v>383</v>
      </c>
      <c r="BV103" t="s">
        <v>90</v>
      </c>
      <c r="BY103">
        <v>1200</v>
      </c>
      <c r="BZ103" t="s">
        <v>81</v>
      </c>
      <c r="CA103" t="s">
        <v>150</v>
      </c>
      <c r="CC103" t="s">
        <v>94</v>
      </c>
      <c r="CD103">
        <v>8000</v>
      </c>
      <c r="CE103" t="s">
        <v>80</v>
      </c>
      <c r="CF103" s="2">
        <v>44301</v>
      </c>
      <c r="CI103">
        <v>1</v>
      </c>
      <c r="CJ103">
        <v>1</v>
      </c>
      <c r="CK103">
        <v>21</v>
      </c>
      <c r="CL103" t="s">
        <v>79</v>
      </c>
    </row>
    <row r="104" spans="1:90" x14ac:dyDescent="0.25">
      <c r="A104" t="s">
        <v>211</v>
      </c>
      <c r="B104" t="s">
        <v>212</v>
      </c>
      <c r="C104" t="s">
        <v>72</v>
      </c>
      <c r="E104" t="str">
        <f>"009940957467"</f>
        <v>009940957467</v>
      </c>
      <c r="F104" s="2">
        <v>44299</v>
      </c>
      <c r="G104">
        <v>202110</v>
      </c>
      <c r="H104" t="s">
        <v>182</v>
      </c>
      <c r="I104" t="s">
        <v>183</v>
      </c>
      <c r="J104" t="s">
        <v>213</v>
      </c>
      <c r="K104" t="s">
        <v>73</v>
      </c>
      <c r="L104" t="s">
        <v>86</v>
      </c>
      <c r="M104" t="s">
        <v>87</v>
      </c>
      <c r="N104" t="s">
        <v>213</v>
      </c>
      <c r="O104" t="s">
        <v>76</v>
      </c>
      <c r="P104" t="str">
        <f t="shared" si="3"/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9.84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1.7</v>
      </c>
      <c r="BK104">
        <v>2</v>
      </c>
      <c r="BL104">
        <v>51.71</v>
      </c>
      <c r="BM104">
        <v>7.76</v>
      </c>
      <c r="BN104">
        <v>59.47</v>
      </c>
      <c r="BO104">
        <v>59.47</v>
      </c>
      <c r="BQ104" t="s">
        <v>384</v>
      </c>
      <c r="BR104" t="s">
        <v>215</v>
      </c>
      <c r="BS104" s="2">
        <v>44300</v>
      </c>
      <c r="BT104" s="3">
        <v>0.375</v>
      </c>
      <c r="BU104" t="s">
        <v>329</v>
      </c>
      <c r="BV104" t="s">
        <v>90</v>
      </c>
      <c r="BY104">
        <v>8388.94</v>
      </c>
      <c r="BZ104" t="s">
        <v>81</v>
      </c>
      <c r="CA104" t="s">
        <v>112</v>
      </c>
      <c r="CC104" t="s">
        <v>87</v>
      </c>
      <c r="CD104">
        <v>4091</v>
      </c>
      <c r="CE104" t="s">
        <v>80</v>
      </c>
      <c r="CF104" s="2">
        <v>44300</v>
      </c>
      <c r="CI104">
        <v>1</v>
      </c>
      <c r="CJ104">
        <v>1</v>
      </c>
      <c r="CK104">
        <v>21</v>
      </c>
      <c r="CL104" t="s">
        <v>79</v>
      </c>
    </row>
    <row r="105" spans="1:90" x14ac:dyDescent="0.25">
      <c r="A105" t="s">
        <v>211</v>
      </c>
      <c r="B105" t="s">
        <v>212</v>
      </c>
      <c r="C105" t="s">
        <v>72</v>
      </c>
      <c r="E105" t="str">
        <f>"009940350119"</f>
        <v>009940350119</v>
      </c>
      <c r="F105" s="2">
        <v>44299</v>
      </c>
      <c r="G105">
        <v>202110</v>
      </c>
      <c r="H105" t="s">
        <v>182</v>
      </c>
      <c r="I105" t="s">
        <v>183</v>
      </c>
      <c r="J105" t="s">
        <v>213</v>
      </c>
      <c r="K105" t="s">
        <v>73</v>
      </c>
      <c r="L105" t="s">
        <v>281</v>
      </c>
      <c r="M105" t="s">
        <v>282</v>
      </c>
      <c r="N105" t="s">
        <v>213</v>
      </c>
      <c r="O105" t="s">
        <v>100</v>
      </c>
      <c r="P105" t="str">
        <f t="shared" si="3"/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53.69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35.4</v>
      </c>
      <c r="BJ105">
        <v>11.5</v>
      </c>
      <c r="BK105">
        <v>36</v>
      </c>
      <c r="BL105">
        <v>287.17</v>
      </c>
      <c r="BM105">
        <v>43.08</v>
      </c>
      <c r="BN105">
        <v>330.25</v>
      </c>
      <c r="BO105">
        <v>330.25</v>
      </c>
      <c r="BQ105" t="s">
        <v>284</v>
      </c>
      <c r="BR105" t="s">
        <v>103</v>
      </c>
      <c r="BS105" s="2">
        <v>44300</v>
      </c>
      <c r="BT105" s="3">
        <v>0.58611111111111114</v>
      </c>
      <c r="BU105" t="s">
        <v>155</v>
      </c>
      <c r="BV105" t="s">
        <v>90</v>
      </c>
      <c r="BY105">
        <v>57628.84</v>
      </c>
      <c r="CA105" t="s">
        <v>285</v>
      </c>
      <c r="CC105" t="s">
        <v>282</v>
      </c>
      <c r="CD105">
        <v>1150</v>
      </c>
      <c r="CE105" t="s">
        <v>80</v>
      </c>
      <c r="CF105" s="2">
        <v>44300</v>
      </c>
      <c r="CI105">
        <v>0</v>
      </c>
      <c r="CJ105">
        <v>0</v>
      </c>
      <c r="CK105" t="s">
        <v>217</v>
      </c>
      <c r="CL105" t="s">
        <v>79</v>
      </c>
    </row>
    <row r="106" spans="1:90" x14ac:dyDescent="0.25">
      <c r="A106" t="s">
        <v>211</v>
      </c>
      <c r="B106" t="s">
        <v>212</v>
      </c>
      <c r="C106" t="s">
        <v>72</v>
      </c>
      <c r="E106" t="str">
        <f>"009940957399"</f>
        <v>009940957399</v>
      </c>
      <c r="F106" s="2">
        <v>44299</v>
      </c>
      <c r="G106">
        <v>202110</v>
      </c>
      <c r="H106" t="s">
        <v>182</v>
      </c>
      <c r="I106" t="s">
        <v>183</v>
      </c>
      <c r="J106" t="s">
        <v>213</v>
      </c>
      <c r="K106" t="s">
        <v>73</v>
      </c>
      <c r="L106" t="s">
        <v>133</v>
      </c>
      <c r="M106" t="s">
        <v>94</v>
      </c>
      <c r="N106" t="s">
        <v>213</v>
      </c>
      <c r="O106" t="s">
        <v>100</v>
      </c>
      <c r="P106" t="str">
        <f t="shared" si="3"/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20.14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2</v>
      </c>
      <c r="BI106">
        <v>18.600000000000001</v>
      </c>
      <c r="BJ106">
        <v>7.9</v>
      </c>
      <c r="BK106">
        <v>10</v>
      </c>
      <c r="BL106">
        <v>110.85</v>
      </c>
      <c r="BM106">
        <v>16.63</v>
      </c>
      <c r="BN106">
        <v>127.48</v>
      </c>
      <c r="BO106">
        <v>127.48</v>
      </c>
      <c r="BQ106" t="s">
        <v>385</v>
      </c>
      <c r="BR106" t="s">
        <v>103</v>
      </c>
      <c r="BS106" s="2">
        <v>44302</v>
      </c>
      <c r="BT106" s="3">
        <v>0.39999999999999997</v>
      </c>
      <c r="BU106" t="s">
        <v>292</v>
      </c>
      <c r="BV106" t="s">
        <v>79</v>
      </c>
      <c r="BW106" t="s">
        <v>105</v>
      </c>
      <c r="BX106" t="s">
        <v>127</v>
      </c>
      <c r="BY106">
        <v>78669.36</v>
      </c>
      <c r="CA106" t="s">
        <v>226</v>
      </c>
      <c r="CC106" t="s">
        <v>94</v>
      </c>
      <c r="CD106">
        <v>8000</v>
      </c>
      <c r="CE106" t="s">
        <v>80</v>
      </c>
      <c r="CF106" s="2">
        <v>44305</v>
      </c>
      <c r="CI106">
        <v>2</v>
      </c>
      <c r="CJ106">
        <v>3</v>
      </c>
      <c r="CK106" t="s">
        <v>134</v>
      </c>
      <c r="CL106" t="s">
        <v>79</v>
      </c>
    </row>
    <row r="107" spans="1:90" x14ac:dyDescent="0.25">
      <c r="A107" t="s">
        <v>211</v>
      </c>
      <c r="B107" t="s">
        <v>212</v>
      </c>
      <c r="C107" t="s">
        <v>72</v>
      </c>
      <c r="E107" t="str">
        <f>"009940956800"</f>
        <v>009940956800</v>
      </c>
      <c r="F107" s="2">
        <v>44299</v>
      </c>
      <c r="G107">
        <v>202110</v>
      </c>
      <c r="H107" t="s">
        <v>182</v>
      </c>
      <c r="I107" t="s">
        <v>183</v>
      </c>
      <c r="J107" t="s">
        <v>213</v>
      </c>
      <c r="K107" t="s">
        <v>73</v>
      </c>
      <c r="L107" t="s">
        <v>98</v>
      </c>
      <c r="M107" t="s">
        <v>99</v>
      </c>
      <c r="N107" t="s">
        <v>257</v>
      </c>
      <c r="O107" t="s">
        <v>100</v>
      </c>
      <c r="P107" t="str">
        <f t="shared" si="3"/>
        <v xml:space="preserve">STORES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40.03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27.2</v>
      </c>
      <c r="BJ107">
        <v>46.3</v>
      </c>
      <c r="BK107">
        <v>47</v>
      </c>
      <c r="BL107">
        <v>215.37</v>
      </c>
      <c r="BM107">
        <v>32.31</v>
      </c>
      <c r="BN107">
        <v>247.68</v>
      </c>
      <c r="BO107">
        <v>247.68</v>
      </c>
      <c r="BQ107" t="s">
        <v>103</v>
      </c>
      <c r="BR107" t="s">
        <v>215</v>
      </c>
      <c r="BS107" s="2">
        <v>44300</v>
      </c>
      <c r="BT107" s="3">
        <v>0.37013888888888885</v>
      </c>
      <c r="BU107" t="s">
        <v>386</v>
      </c>
      <c r="BV107" t="s">
        <v>90</v>
      </c>
      <c r="BY107">
        <v>231521.75</v>
      </c>
      <c r="CA107" t="s">
        <v>208</v>
      </c>
      <c r="CC107" t="s">
        <v>99</v>
      </c>
      <c r="CD107">
        <v>1034</v>
      </c>
      <c r="CE107" t="s">
        <v>80</v>
      </c>
      <c r="CF107" s="2">
        <v>44300</v>
      </c>
      <c r="CI107">
        <v>1</v>
      </c>
      <c r="CJ107">
        <v>1</v>
      </c>
      <c r="CK107" t="s">
        <v>168</v>
      </c>
      <c r="CL107" t="s">
        <v>79</v>
      </c>
    </row>
    <row r="108" spans="1:90" x14ac:dyDescent="0.25">
      <c r="A108" t="s">
        <v>211</v>
      </c>
      <c r="B108" t="s">
        <v>212</v>
      </c>
      <c r="C108" t="s">
        <v>72</v>
      </c>
      <c r="E108" t="str">
        <f>"009940563952"</f>
        <v>009940563952</v>
      </c>
      <c r="F108" s="2">
        <v>44299</v>
      </c>
      <c r="G108">
        <v>202110</v>
      </c>
      <c r="H108" t="s">
        <v>182</v>
      </c>
      <c r="I108" t="s">
        <v>183</v>
      </c>
      <c r="J108" t="s">
        <v>213</v>
      </c>
      <c r="K108" t="s">
        <v>73</v>
      </c>
      <c r="L108" t="s">
        <v>171</v>
      </c>
      <c r="M108" t="s">
        <v>172</v>
      </c>
      <c r="N108" t="s">
        <v>260</v>
      </c>
      <c r="O108" t="s">
        <v>100</v>
      </c>
      <c r="P108" t="str">
        <f t="shared" si="3"/>
        <v xml:space="preserve">STORES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79.69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7</v>
      </c>
      <c r="BI108">
        <v>127.8</v>
      </c>
      <c r="BJ108">
        <v>56.1</v>
      </c>
      <c r="BK108">
        <v>128</v>
      </c>
      <c r="BL108">
        <v>423.81</v>
      </c>
      <c r="BM108">
        <v>63.57</v>
      </c>
      <c r="BN108">
        <v>487.38</v>
      </c>
      <c r="BO108">
        <v>487.38</v>
      </c>
      <c r="BQ108" t="s">
        <v>103</v>
      </c>
      <c r="BR108" t="s">
        <v>215</v>
      </c>
      <c r="BS108" s="2">
        <v>44300</v>
      </c>
      <c r="BT108" s="3">
        <v>0.43124999999999997</v>
      </c>
      <c r="BU108" t="s">
        <v>170</v>
      </c>
      <c r="BV108" t="s">
        <v>90</v>
      </c>
      <c r="BY108">
        <v>251093.07</v>
      </c>
      <c r="CA108" t="s">
        <v>225</v>
      </c>
      <c r="CC108" t="s">
        <v>172</v>
      </c>
      <c r="CD108">
        <v>699</v>
      </c>
      <c r="CE108" t="s">
        <v>80</v>
      </c>
      <c r="CF108" s="2">
        <v>44300</v>
      </c>
      <c r="CI108">
        <v>1</v>
      </c>
      <c r="CJ108">
        <v>1</v>
      </c>
      <c r="CK108" t="s">
        <v>187</v>
      </c>
      <c r="CL108" t="s">
        <v>79</v>
      </c>
    </row>
    <row r="109" spans="1:90" x14ac:dyDescent="0.25">
      <c r="A109" t="s">
        <v>211</v>
      </c>
      <c r="B109" t="s">
        <v>212</v>
      </c>
      <c r="C109" t="s">
        <v>72</v>
      </c>
      <c r="E109" t="str">
        <f>"009939616653"</f>
        <v>009939616653</v>
      </c>
      <c r="F109" s="2">
        <v>44299</v>
      </c>
      <c r="G109">
        <v>202110</v>
      </c>
      <c r="H109" t="s">
        <v>182</v>
      </c>
      <c r="I109" t="s">
        <v>183</v>
      </c>
      <c r="J109" t="s">
        <v>213</v>
      </c>
      <c r="K109" t="s">
        <v>73</v>
      </c>
      <c r="L109" t="s">
        <v>330</v>
      </c>
      <c r="M109" t="s">
        <v>331</v>
      </c>
      <c r="N109" t="s">
        <v>213</v>
      </c>
      <c r="O109" t="s">
        <v>76</v>
      </c>
      <c r="P109" t="str">
        <f t="shared" si="3"/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23.37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0.6</v>
      </c>
      <c r="BJ109">
        <v>2.4</v>
      </c>
      <c r="BK109">
        <v>2.5</v>
      </c>
      <c r="BL109">
        <v>122.81</v>
      </c>
      <c r="BM109">
        <v>18.420000000000002</v>
      </c>
      <c r="BN109">
        <v>141.22999999999999</v>
      </c>
      <c r="BO109">
        <v>141.22999999999999</v>
      </c>
      <c r="BQ109" t="s">
        <v>103</v>
      </c>
      <c r="BR109" t="s">
        <v>215</v>
      </c>
      <c r="BS109" s="2">
        <v>44300</v>
      </c>
      <c r="BT109" s="3">
        <v>0.58333333333333337</v>
      </c>
      <c r="BU109" t="s">
        <v>387</v>
      </c>
      <c r="BV109" t="s">
        <v>79</v>
      </c>
      <c r="BY109">
        <v>11971.5</v>
      </c>
      <c r="BZ109" t="s">
        <v>81</v>
      </c>
      <c r="CA109" t="s">
        <v>336</v>
      </c>
      <c r="CC109" t="s">
        <v>331</v>
      </c>
      <c r="CD109">
        <v>920</v>
      </c>
      <c r="CE109" t="s">
        <v>80</v>
      </c>
      <c r="CF109" s="2">
        <v>44300</v>
      </c>
      <c r="CI109">
        <v>1</v>
      </c>
      <c r="CJ109">
        <v>1</v>
      </c>
      <c r="CK109">
        <v>23</v>
      </c>
      <c r="CL109" t="s">
        <v>79</v>
      </c>
    </row>
    <row r="110" spans="1:90" x14ac:dyDescent="0.25">
      <c r="A110" t="s">
        <v>211</v>
      </c>
      <c r="B110" t="s">
        <v>212</v>
      </c>
      <c r="C110" t="s">
        <v>72</v>
      </c>
      <c r="E110" t="str">
        <f>"009940956695"</f>
        <v>009940956695</v>
      </c>
      <c r="F110" s="2">
        <v>44299</v>
      </c>
      <c r="G110">
        <v>202110</v>
      </c>
      <c r="H110" t="s">
        <v>182</v>
      </c>
      <c r="I110" t="s">
        <v>183</v>
      </c>
      <c r="J110" t="s">
        <v>213</v>
      </c>
      <c r="K110" t="s">
        <v>73</v>
      </c>
      <c r="L110" t="s">
        <v>171</v>
      </c>
      <c r="M110" t="s">
        <v>172</v>
      </c>
      <c r="N110" t="s">
        <v>213</v>
      </c>
      <c r="O110" t="s">
        <v>76</v>
      </c>
      <c r="P110" t="str">
        <f t="shared" si="3"/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19.670000000000002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2.8</v>
      </c>
      <c r="BJ110">
        <v>3.6</v>
      </c>
      <c r="BK110">
        <v>4</v>
      </c>
      <c r="BL110">
        <v>103.38</v>
      </c>
      <c r="BM110">
        <v>15.51</v>
      </c>
      <c r="BN110">
        <v>118.89</v>
      </c>
      <c r="BO110">
        <v>118.89</v>
      </c>
      <c r="BQ110" t="s">
        <v>103</v>
      </c>
      <c r="BR110" t="s">
        <v>215</v>
      </c>
      <c r="BS110" s="2">
        <v>44300</v>
      </c>
      <c r="BT110" s="3">
        <v>0.43124999999999997</v>
      </c>
      <c r="BU110" t="s">
        <v>170</v>
      </c>
      <c r="BV110" t="s">
        <v>90</v>
      </c>
      <c r="BY110">
        <v>17750.25</v>
      </c>
      <c r="BZ110" t="s">
        <v>81</v>
      </c>
      <c r="CA110" t="s">
        <v>225</v>
      </c>
      <c r="CC110" t="s">
        <v>172</v>
      </c>
      <c r="CD110">
        <v>699</v>
      </c>
      <c r="CE110" t="s">
        <v>80</v>
      </c>
      <c r="CF110" s="2">
        <v>44300</v>
      </c>
      <c r="CI110">
        <v>1</v>
      </c>
      <c r="CJ110">
        <v>1</v>
      </c>
      <c r="CK110">
        <v>21</v>
      </c>
      <c r="CL110" t="s">
        <v>79</v>
      </c>
    </row>
    <row r="111" spans="1:90" x14ac:dyDescent="0.25">
      <c r="A111" t="s">
        <v>211</v>
      </c>
      <c r="B111" t="s">
        <v>212</v>
      </c>
      <c r="C111" t="s">
        <v>72</v>
      </c>
      <c r="E111" t="str">
        <f>"009940885756"</f>
        <v>009940885756</v>
      </c>
      <c r="F111" s="2">
        <v>44301</v>
      </c>
      <c r="G111">
        <v>202110</v>
      </c>
      <c r="H111" t="s">
        <v>171</v>
      </c>
      <c r="I111" t="s">
        <v>172</v>
      </c>
      <c r="J111" t="s">
        <v>213</v>
      </c>
      <c r="K111" t="s">
        <v>73</v>
      </c>
      <c r="L111" t="s">
        <v>163</v>
      </c>
      <c r="M111" t="s">
        <v>164</v>
      </c>
      <c r="N111" t="s">
        <v>388</v>
      </c>
      <c r="O111" t="s">
        <v>100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71.94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4</v>
      </c>
      <c r="BI111">
        <v>81</v>
      </c>
      <c r="BJ111">
        <v>119.3</v>
      </c>
      <c r="BK111">
        <v>120</v>
      </c>
      <c r="BL111">
        <v>383.05</v>
      </c>
      <c r="BM111">
        <v>57.46</v>
      </c>
      <c r="BN111">
        <v>440.51</v>
      </c>
      <c r="BO111">
        <v>440.51</v>
      </c>
      <c r="BQ111" t="s">
        <v>389</v>
      </c>
      <c r="BR111" t="s">
        <v>162</v>
      </c>
      <c r="BS111" s="2">
        <v>44302</v>
      </c>
      <c r="BT111" s="3">
        <v>0.47916666666666669</v>
      </c>
      <c r="BU111" t="s">
        <v>216</v>
      </c>
      <c r="BV111" t="s">
        <v>90</v>
      </c>
      <c r="BY111">
        <v>596654</v>
      </c>
      <c r="CA111" t="s">
        <v>165</v>
      </c>
      <c r="CC111" t="s">
        <v>164</v>
      </c>
      <c r="CD111">
        <v>850</v>
      </c>
      <c r="CE111" t="s">
        <v>80</v>
      </c>
      <c r="CF111" s="2">
        <v>44302</v>
      </c>
      <c r="CI111">
        <v>1</v>
      </c>
      <c r="CJ111">
        <v>1</v>
      </c>
      <c r="CK111" t="s">
        <v>101</v>
      </c>
      <c r="CL111" t="s">
        <v>79</v>
      </c>
    </row>
    <row r="112" spans="1:90" x14ac:dyDescent="0.25">
      <c r="A112" t="s">
        <v>211</v>
      </c>
      <c r="B112" t="s">
        <v>212</v>
      </c>
      <c r="C112" t="s">
        <v>72</v>
      </c>
      <c r="E112" t="str">
        <f>"009941079021"</f>
        <v>009941079021</v>
      </c>
      <c r="F112" s="2">
        <v>44300</v>
      </c>
      <c r="G112">
        <v>202110</v>
      </c>
      <c r="H112" t="s">
        <v>82</v>
      </c>
      <c r="I112" t="s">
        <v>83</v>
      </c>
      <c r="J112" t="s">
        <v>213</v>
      </c>
      <c r="K112" t="s">
        <v>73</v>
      </c>
      <c r="L112" t="s">
        <v>88</v>
      </c>
      <c r="M112" t="s">
        <v>89</v>
      </c>
      <c r="N112" t="s">
        <v>213</v>
      </c>
      <c r="O112" t="s">
        <v>100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37.35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37</v>
      </c>
      <c r="BJ112">
        <v>54</v>
      </c>
      <c r="BK112">
        <v>54</v>
      </c>
      <c r="BL112">
        <v>201.28</v>
      </c>
      <c r="BM112">
        <v>30.19</v>
      </c>
      <c r="BN112">
        <v>231.47</v>
      </c>
      <c r="BO112">
        <v>231.47</v>
      </c>
      <c r="BQ112" t="s">
        <v>124</v>
      </c>
      <c r="BR112" t="s">
        <v>239</v>
      </c>
      <c r="BS112" s="2">
        <v>44301</v>
      </c>
      <c r="BT112" s="3">
        <v>0.5854166666666667</v>
      </c>
      <c r="BU112" t="s">
        <v>390</v>
      </c>
      <c r="BV112" t="s">
        <v>90</v>
      </c>
      <c r="BY112">
        <v>270160</v>
      </c>
      <c r="CA112" t="s">
        <v>161</v>
      </c>
      <c r="CC112" t="s">
        <v>89</v>
      </c>
      <c r="CD112">
        <v>6000</v>
      </c>
      <c r="CE112" t="s">
        <v>80</v>
      </c>
      <c r="CF112" s="2">
        <v>44301</v>
      </c>
      <c r="CI112">
        <v>1</v>
      </c>
      <c r="CJ112">
        <v>1</v>
      </c>
      <c r="CK112" t="s">
        <v>101</v>
      </c>
      <c r="CL112" t="s">
        <v>79</v>
      </c>
    </row>
    <row r="113" spans="1:90" x14ac:dyDescent="0.25">
      <c r="A113" t="s">
        <v>211</v>
      </c>
      <c r="B113" t="s">
        <v>212</v>
      </c>
      <c r="C113" t="s">
        <v>72</v>
      </c>
      <c r="E113" t="str">
        <f>"009939629581"</f>
        <v>009939629581</v>
      </c>
      <c r="F113" s="2">
        <v>44300</v>
      </c>
      <c r="G113">
        <v>202110</v>
      </c>
      <c r="H113" t="s">
        <v>269</v>
      </c>
      <c r="I113" t="s">
        <v>270</v>
      </c>
      <c r="J113" t="s">
        <v>213</v>
      </c>
      <c r="K113" t="s">
        <v>73</v>
      </c>
      <c r="L113" t="s">
        <v>88</v>
      </c>
      <c r="M113" t="s">
        <v>89</v>
      </c>
      <c r="N113" t="s">
        <v>213</v>
      </c>
      <c r="O113" t="s">
        <v>100</v>
      </c>
      <c r="P113" t="str">
        <f>"                              "</f>
        <v xml:space="preserve"> 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30.54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32</v>
      </c>
      <c r="BJ113">
        <v>40.6</v>
      </c>
      <c r="BK113">
        <v>41</v>
      </c>
      <c r="BL113">
        <v>165.48</v>
      </c>
      <c r="BM113">
        <v>24.82</v>
      </c>
      <c r="BN113">
        <v>190.3</v>
      </c>
      <c r="BO113">
        <v>190.3</v>
      </c>
      <c r="BQ113" t="s">
        <v>391</v>
      </c>
      <c r="BR113" t="s">
        <v>392</v>
      </c>
      <c r="BS113" s="2">
        <v>44301</v>
      </c>
      <c r="BT113" s="3">
        <v>0.5854166666666667</v>
      </c>
      <c r="BU113" t="s">
        <v>390</v>
      </c>
      <c r="BV113" t="s">
        <v>90</v>
      </c>
      <c r="BY113">
        <v>202800</v>
      </c>
      <c r="CA113" t="s">
        <v>161</v>
      </c>
      <c r="CC113" t="s">
        <v>89</v>
      </c>
      <c r="CD113">
        <v>6000</v>
      </c>
      <c r="CE113" t="s">
        <v>80</v>
      </c>
      <c r="CF113" s="2">
        <v>44301</v>
      </c>
      <c r="CI113">
        <v>1</v>
      </c>
      <c r="CJ113">
        <v>1</v>
      </c>
      <c r="CK113" t="s">
        <v>101</v>
      </c>
      <c r="CL113" t="s">
        <v>79</v>
      </c>
    </row>
    <row r="114" spans="1:90" x14ac:dyDescent="0.25">
      <c r="A114" t="s">
        <v>211</v>
      </c>
      <c r="B114" t="s">
        <v>212</v>
      </c>
      <c r="C114" t="s">
        <v>72</v>
      </c>
      <c r="E114" t="str">
        <f>"009939946709"</f>
        <v>009939946709</v>
      </c>
      <c r="F114" s="2">
        <v>44300</v>
      </c>
      <c r="G114">
        <v>202110</v>
      </c>
      <c r="H114" t="s">
        <v>86</v>
      </c>
      <c r="I114" t="s">
        <v>87</v>
      </c>
      <c r="J114" t="s">
        <v>302</v>
      </c>
      <c r="K114" t="s">
        <v>73</v>
      </c>
      <c r="L114" t="s">
        <v>182</v>
      </c>
      <c r="M114" t="s">
        <v>183</v>
      </c>
      <c r="N114" t="s">
        <v>213</v>
      </c>
      <c r="O114" t="s">
        <v>76</v>
      </c>
      <c r="P114" t="str">
        <f>"181 206 0151                  "</f>
        <v xml:space="preserve">181 206 0151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9.84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51.71</v>
      </c>
      <c r="BM114">
        <v>7.76</v>
      </c>
      <c r="BN114">
        <v>59.47</v>
      </c>
      <c r="BO114">
        <v>59.47</v>
      </c>
      <c r="BQ114" t="s">
        <v>207</v>
      </c>
      <c r="BS114" s="2">
        <v>44301</v>
      </c>
      <c r="BT114" s="3">
        <v>0.3611111111111111</v>
      </c>
      <c r="BU114" t="s">
        <v>126</v>
      </c>
      <c r="BV114" t="s">
        <v>90</v>
      </c>
      <c r="BY114">
        <v>1200</v>
      </c>
      <c r="BZ114" t="s">
        <v>81</v>
      </c>
      <c r="CA114" t="s">
        <v>132</v>
      </c>
      <c r="CC114" t="s">
        <v>183</v>
      </c>
      <c r="CD114">
        <v>2146</v>
      </c>
      <c r="CE114" t="s">
        <v>80</v>
      </c>
      <c r="CF114" s="2">
        <v>44302</v>
      </c>
      <c r="CI114">
        <v>1</v>
      </c>
      <c r="CJ114">
        <v>1</v>
      </c>
      <c r="CK114">
        <v>21</v>
      </c>
      <c r="CL114" t="s">
        <v>79</v>
      </c>
    </row>
    <row r="115" spans="1:90" x14ac:dyDescent="0.25">
      <c r="A115" t="s">
        <v>211</v>
      </c>
      <c r="B115" t="s">
        <v>212</v>
      </c>
      <c r="C115" t="s">
        <v>72</v>
      </c>
      <c r="E115" t="str">
        <f>"009940957400"</f>
        <v>009940957400</v>
      </c>
      <c r="F115" s="2">
        <v>44300</v>
      </c>
      <c r="G115">
        <v>202110</v>
      </c>
      <c r="H115" t="s">
        <v>182</v>
      </c>
      <c r="I115" t="s">
        <v>183</v>
      </c>
      <c r="J115" t="s">
        <v>213</v>
      </c>
      <c r="K115" t="s">
        <v>73</v>
      </c>
      <c r="L115" t="s">
        <v>133</v>
      </c>
      <c r="M115" t="s">
        <v>94</v>
      </c>
      <c r="N115" t="s">
        <v>213</v>
      </c>
      <c r="O115" t="s">
        <v>100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59.81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3</v>
      </c>
      <c r="BI115">
        <v>53</v>
      </c>
      <c r="BJ115">
        <v>60.6</v>
      </c>
      <c r="BK115">
        <v>61</v>
      </c>
      <c r="BL115">
        <v>319.33999999999997</v>
      </c>
      <c r="BM115">
        <v>47.9</v>
      </c>
      <c r="BN115">
        <v>367.24</v>
      </c>
      <c r="BO115">
        <v>367.24</v>
      </c>
      <c r="BQ115" t="s">
        <v>103</v>
      </c>
      <c r="BR115" t="s">
        <v>215</v>
      </c>
      <c r="BS115" s="2">
        <v>44302</v>
      </c>
      <c r="BT115" s="3">
        <v>0.39999999999999997</v>
      </c>
      <c r="BU115" t="s">
        <v>292</v>
      </c>
      <c r="BV115" t="s">
        <v>90</v>
      </c>
      <c r="BY115">
        <v>303054.39</v>
      </c>
      <c r="CA115" t="s">
        <v>226</v>
      </c>
      <c r="CC115" t="s">
        <v>94</v>
      </c>
      <c r="CD115">
        <v>8000</v>
      </c>
      <c r="CE115" t="s">
        <v>80</v>
      </c>
      <c r="CF115" s="2">
        <v>44305</v>
      </c>
      <c r="CI115">
        <v>2</v>
      </c>
      <c r="CJ115">
        <v>2</v>
      </c>
      <c r="CK115" t="s">
        <v>134</v>
      </c>
      <c r="CL115" t="s">
        <v>79</v>
      </c>
    </row>
    <row r="116" spans="1:90" x14ac:dyDescent="0.25">
      <c r="A116" t="s">
        <v>211</v>
      </c>
      <c r="B116" t="s">
        <v>212</v>
      </c>
      <c r="C116" t="s">
        <v>72</v>
      </c>
      <c r="E116" t="str">
        <f>"009940563953"</f>
        <v>009940563953</v>
      </c>
      <c r="F116" s="2">
        <v>44300</v>
      </c>
      <c r="G116">
        <v>202110</v>
      </c>
      <c r="H116" t="s">
        <v>182</v>
      </c>
      <c r="I116" t="s">
        <v>183</v>
      </c>
      <c r="J116" t="s">
        <v>213</v>
      </c>
      <c r="K116" t="s">
        <v>73</v>
      </c>
      <c r="L116" t="s">
        <v>171</v>
      </c>
      <c r="M116" t="s">
        <v>172</v>
      </c>
      <c r="N116" t="s">
        <v>213</v>
      </c>
      <c r="O116" t="s">
        <v>100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31.32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20</v>
      </c>
      <c r="BJ116">
        <v>44.3</v>
      </c>
      <c r="BK116">
        <v>45</v>
      </c>
      <c r="BL116">
        <v>169.6</v>
      </c>
      <c r="BM116">
        <v>25.44</v>
      </c>
      <c r="BN116">
        <v>195.04</v>
      </c>
      <c r="BO116">
        <v>195.04</v>
      </c>
      <c r="BQ116" t="s">
        <v>103</v>
      </c>
      <c r="BR116" t="s">
        <v>215</v>
      </c>
      <c r="BS116" s="2">
        <v>44301</v>
      </c>
      <c r="BT116" s="3">
        <v>0.4375</v>
      </c>
      <c r="BU116" t="s">
        <v>170</v>
      </c>
      <c r="BV116" t="s">
        <v>90</v>
      </c>
      <c r="BY116">
        <v>221266.08</v>
      </c>
      <c r="CA116" t="s">
        <v>225</v>
      </c>
      <c r="CC116" t="s">
        <v>172</v>
      </c>
      <c r="CD116">
        <v>700</v>
      </c>
      <c r="CE116" t="s">
        <v>80</v>
      </c>
      <c r="CF116" s="2">
        <v>44301</v>
      </c>
      <c r="CI116">
        <v>1</v>
      </c>
      <c r="CJ116">
        <v>1</v>
      </c>
      <c r="CK116" t="s">
        <v>187</v>
      </c>
      <c r="CL116" t="s">
        <v>79</v>
      </c>
    </row>
    <row r="117" spans="1:90" x14ac:dyDescent="0.25">
      <c r="A117" t="s">
        <v>211</v>
      </c>
      <c r="B117" t="s">
        <v>212</v>
      </c>
      <c r="C117" t="s">
        <v>72</v>
      </c>
      <c r="E117" t="str">
        <f>"009940956799"</f>
        <v>009940956799</v>
      </c>
      <c r="F117" s="2">
        <v>44300</v>
      </c>
      <c r="G117">
        <v>202110</v>
      </c>
      <c r="H117" t="s">
        <v>182</v>
      </c>
      <c r="I117" t="s">
        <v>183</v>
      </c>
      <c r="J117" t="s">
        <v>213</v>
      </c>
      <c r="K117" t="s">
        <v>73</v>
      </c>
      <c r="L117" t="s">
        <v>98</v>
      </c>
      <c r="M117" t="s">
        <v>99</v>
      </c>
      <c r="N117" t="s">
        <v>213</v>
      </c>
      <c r="O117" t="s">
        <v>100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50.15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3</v>
      </c>
      <c r="BI117">
        <v>50.5</v>
      </c>
      <c r="BJ117">
        <v>61.2</v>
      </c>
      <c r="BK117">
        <v>62</v>
      </c>
      <c r="BL117">
        <v>268.54000000000002</v>
      </c>
      <c r="BM117">
        <v>40.28</v>
      </c>
      <c r="BN117">
        <v>308.82</v>
      </c>
      <c r="BO117">
        <v>308.82</v>
      </c>
      <c r="BQ117" t="s">
        <v>103</v>
      </c>
      <c r="BR117" t="s">
        <v>215</v>
      </c>
      <c r="BS117" s="2">
        <v>44301</v>
      </c>
      <c r="BT117" s="3">
        <v>0.36319444444444443</v>
      </c>
      <c r="BU117" t="s">
        <v>393</v>
      </c>
      <c r="BV117" t="s">
        <v>90</v>
      </c>
      <c r="BY117">
        <v>306006.62</v>
      </c>
      <c r="CA117" t="s">
        <v>208</v>
      </c>
      <c r="CC117" t="s">
        <v>99</v>
      </c>
      <c r="CD117">
        <v>1034</v>
      </c>
      <c r="CE117" t="s">
        <v>80</v>
      </c>
      <c r="CF117" s="2">
        <v>44301</v>
      </c>
      <c r="CI117">
        <v>1</v>
      </c>
      <c r="CJ117">
        <v>1</v>
      </c>
      <c r="CK117" t="s">
        <v>168</v>
      </c>
      <c r="CL117" t="s">
        <v>79</v>
      </c>
    </row>
    <row r="118" spans="1:90" x14ac:dyDescent="0.25">
      <c r="A118" t="s">
        <v>211</v>
      </c>
      <c r="B118" t="s">
        <v>212</v>
      </c>
      <c r="C118" t="s">
        <v>72</v>
      </c>
      <c r="E118" t="str">
        <f>"009940776105"</f>
        <v>009940776105</v>
      </c>
      <c r="F118" s="2">
        <v>44300</v>
      </c>
      <c r="G118">
        <v>202110</v>
      </c>
      <c r="H118" t="s">
        <v>88</v>
      </c>
      <c r="I118" t="s">
        <v>89</v>
      </c>
      <c r="J118" t="s">
        <v>238</v>
      </c>
      <c r="K118" t="s">
        <v>73</v>
      </c>
      <c r="L118" t="s">
        <v>74</v>
      </c>
      <c r="M118" t="s">
        <v>75</v>
      </c>
      <c r="N118" t="s">
        <v>213</v>
      </c>
      <c r="O118" t="s">
        <v>100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90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3</v>
      </c>
      <c r="BI118">
        <v>72.2</v>
      </c>
      <c r="BJ118">
        <v>96.1</v>
      </c>
      <c r="BK118">
        <v>96</v>
      </c>
      <c r="BL118">
        <v>477.98</v>
      </c>
      <c r="BM118">
        <v>71.7</v>
      </c>
      <c r="BN118">
        <v>549.67999999999995</v>
      </c>
      <c r="BO118">
        <v>549.67999999999995</v>
      </c>
      <c r="BQ118" t="s">
        <v>394</v>
      </c>
      <c r="BR118" t="s">
        <v>240</v>
      </c>
      <c r="BS118" s="2">
        <v>44302</v>
      </c>
      <c r="BT118" s="3">
        <v>0.38055555555555554</v>
      </c>
      <c r="BU118" t="s">
        <v>395</v>
      </c>
      <c r="BV118" t="s">
        <v>90</v>
      </c>
      <c r="BY118">
        <v>480448</v>
      </c>
      <c r="CA118" t="s">
        <v>237</v>
      </c>
      <c r="CC118" t="s">
        <v>75</v>
      </c>
      <c r="CD118">
        <v>2000</v>
      </c>
      <c r="CE118" t="s">
        <v>80</v>
      </c>
      <c r="CF118" s="2">
        <v>44302</v>
      </c>
      <c r="CI118">
        <v>2</v>
      </c>
      <c r="CJ118">
        <v>2</v>
      </c>
      <c r="CK118" t="s">
        <v>134</v>
      </c>
      <c r="CL118" t="s">
        <v>79</v>
      </c>
    </row>
    <row r="119" spans="1:90" x14ac:dyDescent="0.25">
      <c r="A119" t="s">
        <v>211</v>
      </c>
      <c r="B119" t="s">
        <v>212</v>
      </c>
      <c r="C119" t="s">
        <v>72</v>
      </c>
      <c r="E119" t="str">
        <f>"009939616925"</f>
        <v>009939616925</v>
      </c>
      <c r="F119" s="2">
        <v>44300</v>
      </c>
      <c r="G119">
        <v>202110</v>
      </c>
      <c r="H119" t="s">
        <v>182</v>
      </c>
      <c r="I119" t="s">
        <v>183</v>
      </c>
      <c r="J119" t="s">
        <v>213</v>
      </c>
      <c r="K119" t="s">
        <v>73</v>
      </c>
      <c r="L119" t="s">
        <v>287</v>
      </c>
      <c r="M119" t="s">
        <v>288</v>
      </c>
      <c r="N119" t="s">
        <v>213</v>
      </c>
      <c r="O119" t="s">
        <v>100</v>
      </c>
      <c r="P119" t="str">
        <f t="shared" ref="P119:P124" si="4">"STORES                        "</f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23.98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1.8</v>
      </c>
      <c r="BJ119">
        <v>1.9</v>
      </c>
      <c r="BK119">
        <v>2</v>
      </c>
      <c r="BL119">
        <v>131.04</v>
      </c>
      <c r="BM119">
        <v>19.66</v>
      </c>
      <c r="BN119">
        <v>150.69999999999999</v>
      </c>
      <c r="BO119">
        <v>150.69999999999999</v>
      </c>
      <c r="BQ119" t="s">
        <v>103</v>
      </c>
      <c r="BR119" t="s">
        <v>215</v>
      </c>
      <c r="BS119" s="2">
        <v>44301</v>
      </c>
      <c r="BT119" s="3">
        <v>0.42986111111111108</v>
      </c>
      <c r="BU119" t="s">
        <v>290</v>
      </c>
      <c r="BV119" t="s">
        <v>90</v>
      </c>
      <c r="BY119">
        <v>9670.75</v>
      </c>
      <c r="CA119" t="s">
        <v>291</v>
      </c>
      <c r="CC119" t="s">
        <v>288</v>
      </c>
      <c r="CD119">
        <v>8600</v>
      </c>
      <c r="CE119" t="s">
        <v>80</v>
      </c>
      <c r="CF119" s="2">
        <v>44305</v>
      </c>
      <c r="CI119">
        <v>1</v>
      </c>
      <c r="CJ119">
        <v>1</v>
      </c>
      <c r="CK119" t="s">
        <v>217</v>
      </c>
      <c r="CL119" t="s">
        <v>79</v>
      </c>
    </row>
    <row r="120" spans="1:90" x14ac:dyDescent="0.25">
      <c r="A120" t="s">
        <v>211</v>
      </c>
      <c r="B120" t="s">
        <v>212</v>
      </c>
      <c r="C120" t="s">
        <v>72</v>
      </c>
      <c r="E120" t="str">
        <f>"009935501134"</f>
        <v>009935501134</v>
      </c>
      <c r="F120" s="2">
        <v>44300</v>
      </c>
      <c r="G120">
        <v>202110</v>
      </c>
      <c r="H120" t="s">
        <v>182</v>
      </c>
      <c r="I120" t="s">
        <v>183</v>
      </c>
      <c r="J120" t="s">
        <v>213</v>
      </c>
      <c r="K120" t="s">
        <v>73</v>
      </c>
      <c r="L120" t="s">
        <v>88</v>
      </c>
      <c r="M120" t="s">
        <v>89</v>
      </c>
      <c r="N120" t="s">
        <v>213</v>
      </c>
      <c r="O120" t="s">
        <v>100</v>
      </c>
      <c r="P120" t="str">
        <f t="shared" si="4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23.59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19</v>
      </c>
      <c r="BJ120">
        <v>11.6</v>
      </c>
      <c r="BK120">
        <v>19</v>
      </c>
      <c r="BL120">
        <v>128.97999999999999</v>
      </c>
      <c r="BM120">
        <v>19.350000000000001</v>
      </c>
      <c r="BN120">
        <v>148.33000000000001</v>
      </c>
      <c r="BO120">
        <v>148.33000000000001</v>
      </c>
      <c r="BQ120" t="s">
        <v>103</v>
      </c>
      <c r="BR120" t="s">
        <v>215</v>
      </c>
      <c r="BS120" s="2">
        <v>44305</v>
      </c>
      <c r="BT120" s="3">
        <v>0.40138888888888885</v>
      </c>
      <c r="BU120" t="s">
        <v>277</v>
      </c>
      <c r="BV120" t="s">
        <v>79</v>
      </c>
      <c r="BW120" t="s">
        <v>105</v>
      </c>
      <c r="BX120" t="s">
        <v>117</v>
      </c>
      <c r="BY120">
        <v>57960.36</v>
      </c>
      <c r="CA120" t="s">
        <v>113</v>
      </c>
      <c r="CC120" t="s">
        <v>89</v>
      </c>
      <c r="CD120">
        <v>6000</v>
      </c>
      <c r="CE120" t="s">
        <v>80</v>
      </c>
      <c r="CF120" s="2">
        <v>44305</v>
      </c>
      <c r="CI120">
        <v>2</v>
      </c>
      <c r="CJ120">
        <v>3</v>
      </c>
      <c r="CK120" t="s">
        <v>134</v>
      </c>
      <c r="CL120" t="s">
        <v>79</v>
      </c>
    </row>
    <row r="121" spans="1:90" x14ac:dyDescent="0.25">
      <c r="A121" t="s">
        <v>211</v>
      </c>
      <c r="B121" t="s">
        <v>212</v>
      </c>
      <c r="C121" t="s">
        <v>72</v>
      </c>
      <c r="E121" t="str">
        <f>"009940956531"</f>
        <v>009940956531</v>
      </c>
      <c r="F121" s="2">
        <v>44300</v>
      </c>
      <c r="G121">
        <v>202110</v>
      </c>
      <c r="H121" t="s">
        <v>182</v>
      </c>
      <c r="I121" t="s">
        <v>183</v>
      </c>
      <c r="J121" t="s">
        <v>213</v>
      </c>
      <c r="K121" t="s">
        <v>73</v>
      </c>
      <c r="L121" t="s">
        <v>86</v>
      </c>
      <c r="M121" t="s">
        <v>87</v>
      </c>
      <c r="N121" t="s">
        <v>213</v>
      </c>
      <c r="O121" t="s">
        <v>100</v>
      </c>
      <c r="P121" t="str">
        <f t="shared" si="4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13.84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10</v>
      </c>
      <c r="BJ121">
        <v>13.2</v>
      </c>
      <c r="BK121">
        <v>14</v>
      </c>
      <c r="BL121">
        <v>77.72</v>
      </c>
      <c r="BM121">
        <v>11.66</v>
      </c>
      <c r="BN121">
        <v>89.38</v>
      </c>
      <c r="BO121">
        <v>89.38</v>
      </c>
      <c r="BQ121" t="s">
        <v>103</v>
      </c>
      <c r="BR121" t="s">
        <v>215</v>
      </c>
      <c r="BS121" s="2">
        <v>44301</v>
      </c>
      <c r="BT121" s="3">
        <v>0.51250000000000007</v>
      </c>
      <c r="BU121" t="s">
        <v>396</v>
      </c>
      <c r="BV121" t="s">
        <v>90</v>
      </c>
      <c r="BY121">
        <v>65940</v>
      </c>
      <c r="CA121" t="s">
        <v>228</v>
      </c>
      <c r="CC121" t="s">
        <v>87</v>
      </c>
      <c r="CD121">
        <v>4091</v>
      </c>
      <c r="CE121" t="s">
        <v>80</v>
      </c>
      <c r="CF121" s="2">
        <v>44301</v>
      </c>
      <c r="CI121">
        <v>1</v>
      </c>
      <c r="CJ121">
        <v>1</v>
      </c>
      <c r="CK121" t="s">
        <v>102</v>
      </c>
      <c r="CL121" t="s">
        <v>79</v>
      </c>
    </row>
    <row r="122" spans="1:90" x14ac:dyDescent="0.25">
      <c r="A122" t="s">
        <v>211</v>
      </c>
      <c r="B122" t="s">
        <v>212</v>
      </c>
      <c r="C122" t="s">
        <v>72</v>
      </c>
      <c r="E122" t="str">
        <f>"009935998623"</f>
        <v>009935998623</v>
      </c>
      <c r="F122" s="2">
        <v>44300</v>
      </c>
      <c r="G122">
        <v>202110</v>
      </c>
      <c r="H122" t="s">
        <v>182</v>
      </c>
      <c r="I122" t="s">
        <v>183</v>
      </c>
      <c r="J122" t="s">
        <v>213</v>
      </c>
      <c r="K122" t="s">
        <v>73</v>
      </c>
      <c r="L122" t="s">
        <v>199</v>
      </c>
      <c r="M122" t="s">
        <v>200</v>
      </c>
      <c r="N122" t="s">
        <v>213</v>
      </c>
      <c r="O122" t="s">
        <v>100</v>
      </c>
      <c r="P122" t="str">
        <f t="shared" si="4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40.65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3</v>
      </c>
      <c r="BI122">
        <v>53.2</v>
      </c>
      <c r="BJ122">
        <v>61</v>
      </c>
      <c r="BK122">
        <v>61</v>
      </c>
      <c r="BL122">
        <v>218.61</v>
      </c>
      <c r="BM122">
        <v>32.79</v>
      </c>
      <c r="BN122">
        <v>251.4</v>
      </c>
      <c r="BO122">
        <v>251.4</v>
      </c>
      <c r="BQ122" t="s">
        <v>103</v>
      </c>
      <c r="BR122" t="s">
        <v>235</v>
      </c>
      <c r="BS122" s="2">
        <v>44301</v>
      </c>
      <c r="BT122" s="3">
        <v>0.51041666666666663</v>
      </c>
      <c r="BU122" t="s">
        <v>397</v>
      </c>
      <c r="BV122" t="s">
        <v>90</v>
      </c>
      <c r="BY122">
        <v>304915.40999999997</v>
      </c>
      <c r="CA122" t="s">
        <v>266</v>
      </c>
      <c r="CC122" t="s">
        <v>200</v>
      </c>
      <c r="CD122">
        <v>9301</v>
      </c>
      <c r="CE122" t="s">
        <v>80</v>
      </c>
      <c r="CF122" s="2">
        <v>44301</v>
      </c>
      <c r="CI122">
        <v>1</v>
      </c>
      <c r="CJ122">
        <v>1</v>
      </c>
      <c r="CK122" t="s">
        <v>187</v>
      </c>
      <c r="CL122" t="s">
        <v>79</v>
      </c>
    </row>
    <row r="123" spans="1:90" x14ac:dyDescent="0.25">
      <c r="A123" t="s">
        <v>211</v>
      </c>
      <c r="B123" t="s">
        <v>212</v>
      </c>
      <c r="C123" t="s">
        <v>72</v>
      </c>
      <c r="E123" t="str">
        <f>"009940956604"</f>
        <v>009940956604</v>
      </c>
      <c r="F123" s="2">
        <v>44300</v>
      </c>
      <c r="G123">
        <v>202110</v>
      </c>
      <c r="H123" t="s">
        <v>182</v>
      </c>
      <c r="I123" t="s">
        <v>183</v>
      </c>
      <c r="J123" t="s">
        <v>213</v>
      </c>
      <c r="K123" t="s">
        <v>73</v>
      </c>
      <c r="L123" t="s">
        <v>108</v>
      </c>
      <c r="M123" t="s">
        <v>109</v>
      </c>
      <c r="N123" t="s">
        <v>213</v>
      </c>
      <c r="O123" t="s">
        <v>100</v>
      </c>
      <c r="P123" t="str">
        <f t="shared" si="4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50.15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4</v>
      </c>
      <c r="BI123">
        <v>51.1</v>
      </c>
      <c r="BJ123">
        <v>61.3</v>
      </c>
      <c r="BK123">
        <v>62</v>
      </c>
      <c r="BL123">
        <v>268.54000000000002</v>
      </c>
      <c r="BM123">
        <v>40.28</v>
      </c>
      <c r="BN123">
        <v>308.82</v>
      </c>
      <c r="BO123">
        <v>308.82</v>
      </c>
      <c r="BQ123" t="s">
        <v>355</v>
      </c>
      <c r="BR123" t="s">
        <v>215</v>
      </c>
      <c r="BS123" s="2">
        <v>44301</v>
      </c>
      <c r="BT123" s="3">
        <v>0.35833333333333334</v>
      </c>
      <c r="BU123" t="s">
        <v>244</v>
      </c>
      <c r="BV123" t="s">
        <v>90</v>
      </c>
      <c r="BY123">
        <v>306606.34000000003</v>
      </c>
      <c r="CA123" t="s">
        <v>158</v>
      </c>
      <c r="CC123" t="s">
        <v>109</v>
      </c>
      <c r="CD123">
        <v>299</v>
      </c>
      <c r="CE123" t="s">
        <v>80</v>
      </c>
      <c r="CF123" s="2">
        <v>44301</v>
      </c>
      <c r="CI123">
        <v>1</v>
      </c>
      <c r="CJ123">
        <v>1</v>
      </c>
      <c r="CK123" t="s">
        <v>168</v>
      </c>
      <c r="CL123" t="s">
        <v>79</v>
      </c>
    </row>
    <row r="124" spans="1:90" x14ac:dyDescent="0.25">
      <c r="A124" t="s">
        <v>211</v>
      </c>
      <c r="B124" t="s">
        <v>212</v>
      </c>
      <c r="C124" t="s">
        <v>72</v>
      </c>
      <c r="E124" t="str">
        <f>"009940956530"</f>
        <v>009940956530</v>
      </c>
      <c r="F124" s="2">
        <v>44300</v>
      </c>
      <c r="G124">
        <v>202110</v>
      </c>
      <c r="H124" t="s">
        <v>182</v>
      </c>
      <c r="I124" t="s">
        <v>183</v>
      </c>
      <c r="J124" t="s">
        <v>213</v>
      </c>
      <c r="K124" t="s">
        <v>73</v>
      </c>
      <c r="L124" t="s">
        <v>86</v>
      </c>
      <c r="M124" t="s">
        <v>87</v>
      </c>
      <c r="N124" t="s">
        <v>213</v>
      </c>
      <c r="O124" t="s">
        <v>100</v>
      </c>
      <c r="P124" t="str">
        <f t="shared" si="4"/>
        <v xml:space="preserve">STORES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36.57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8</v>
      </c>
      <c r="BI124">
        <v>53.1</v>
      </c>
      <c r="BJ124">
        <v>54</v>
      </c>
      <c r="BK124">
        <v>54</v>
      </c>
      <c r="BL124">
        <v>197.17</v>
      </c>
      <c r="BM124">
        <v>29.58</v>
      </c>
      <c r="BN124">
        <v>226.75</v>
      </c>
      <c r="BO124">
        <v>226.75</v>
      </c>
      <c r="BQ124" t="s">
        <v>103</v>
      </c>
      <c r="BR124" t="s">
        <v>215</v>
      </c>
      <c r="BS124" s="2">
        <v>44301</v>
      </c>
      <c r="BT124" s="3">
        <v>0.51111111111111118</v>
      </c>
      <c r="BU124" t="s">
        <v>398</v>
      </c>
      <c r="BV124" t="s">
        <v>90</v>
      </c>
      <c r="BY124">
        <v>270223.03000000003</v>
      </c>
      <c r="CA124" t="s">
        <v>228</v>
      </c>
      <c r="CC124" t="s">
        <v>87</v>
      </c>
      <c r="CD124">
        <v>4091</v>
      </c>
      <c r="CE124" t="s">
        <v>80</v>
      </c>
      <c r="CF124" s="2">
        <v>44301</v>
      </c>
      <c r="CI124">
        <v>1</v>
      </c>
      <c r="CJ124">
        <v>1</v>
      </c>
      <c r="CK124" t="s">
        <v>102</v>
      </c>
      <c r="CL124" t="s">
        <v>79</v>
      </c>
    </row>
    <row r="125" spans="1:90" x14ac:dyDescent="0.25">
      <c r="A125" t="s">
        <v>211</v>
      </c>
      <c r="B125" t="s">
        <v>212</v>
      </c>
      <c r="C125" t="s">
        <v>72</v>
      </c>
      <c r="E125" t="str">
        <f>"009940350125"</f>
        <v>009940350125</v>
      </c>
      <c r="F125" s="2">
        <v>44300</v>
      </c>
      <c r="G125">
        <v>202110</v>
      </c>
      <c r="H125" t="s">
        <v>182</v>
      </c>
      <c r="I125" t="s">
        <v>183</v>
      </c>
      <c r="J125" t="s">
        <v>213</v>
      </c>
      <c r="K125" t="s">
        <v>73</v>
      </c>
      <c r="L125" t="s">
        <v>197</v>
      </c>
      <c r="M125" t="s">
        <v>198</v>
      </c>
      <c r="N125" t="s">
        <v>213</v>
      </c>
      <c r="O125" t="s">
        <v>76</v>
      </c>
      <c r="P125" t="str">
        <f>"NA                            "</f>
        <v xml:space="preserve">NA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14.76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0.2</v>
      </c>
      <c r="BJ125">
        <v>2.7</v>
      </c>
      <c r="BK125">
        <v>3</v>
      </c>
      <c r="BL125">
        <v>77.55</v>
      </c>
      <c r="BM125">
        <v>11.63</v>
      </c>
      <c r="BN125">
        <v>89.18</v>
      </c>
      <c r="BO125">
        <v>89.18</v>
      </c>
      <c r="BQ125" t="s">
        <v>399</v>
      </c>
      <c r="BR125" t="s">
        <v>103</v>
      </c>
      <c r="BS125" s="2">
        <v>44301</v>
      </c>
      <c r="BT125" s="3">
        <v>0.57291666666666663</v>
      </c>
      <c r="BU125" t="s">
        <v>175</v>
      </c>
      <c r="BV125" t="s">
        <v>79</v>
      </c>
      <c r="BY125">
        <v>13713.44</v>
      </c>
      <c r="BZ125" t="s">
        <v>81</v>
      </c>
      <c r="CA125" t="s">
        <v>376</v>
      </c>
      <c r="CC125" t="s">
        <v>198</v>
      </c>
      <c r="CD125">
        <v>1200</v>
      </c>
      <c r="CE125" t="s">
        <v>80</v>
      </c>
      <c r="CF125" s="2">
        <v>44301</v>
      </c>
      <c r="CI125">
        <v>1</v>
      </c>
      <c r="CJ125">
        <v>1</v>
      </c>
      <c r="CK125">
        <v>21</v>
      </c>
      <c r="CL125" t="s">
        <v>79</v>
      </c>
    </row>
    <row r="126" spans="1:90" x14ac:dyDescent="0.25">
      <c r="A126" t="s">
        <v>211</v>
      </c>
      <c r="B126" t="s">
        <v>212</v>
      </c>
      <c r="C126" t="s">
        <v>72</v>
      </c>
      <c r="E126" t="str">
        <f>"009940957393"</f>
        <v>009940957393</v>
      </c>
      <c r="F126" s="2">
        <v>44300</v>
      </c>
      <c r="G126">
        <v>202110</v>
      </c>
      <c r="H126" t="s">
        <v>182</v>
      </c>
      <c r="I126" t="s">
        <v>183</v>
      </c>
      <c r="J126" t="s">
        <v>213</v>
      </c>
      <c r="K126" t="s">
        <v>73</v>
      </c>
      <c r="L126" t="s">
        <v>93</v>
      </c>
      <c r="M126" t="s">
        <v>94</v>
      </c>
      <c r="N126" t="s">
        <v>213</v>
      </c>
      <c r="O126" t="s">
        <v>76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113.08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23</v>
      </c>
      <c r="BJ126">
        <v>10.3</v>
      </c>
      <c r="BK126">
        <v>23</v>
      </c>
      <c r="BL126">
        <v>594.27</v>
      </c>
      <c r="BM126">
        <v>89.14</v>
      </c>
      <c r="BN126">
        <v>683.41</v>
      </c>
      <c r="BO126">
        <v>683.41</v>
      </c>
      <c r="BQ126" t="s">
        <v>103</v>
      </c>
      <c r="BR126" t="s">
        <v>215</v>
      </c>
      <c r="BS126" s="2">
        <v>44301</v>
      </c>
      <c r="BT126" s="3">
        <v>0.3527777777777778</v>
      </c>
      <c r="BU126" t="s">
        <v>142</v>
      </c>
      <c r="BV126" t="s">
        <v>90</v>
      </c>
      <c r="BY126">
        <v>51440.22</v>
      </c>
      <c r="BZ126" t="s">
        <v>81</v>
      </c>
      <c r="CA126" t="s">
        <v>125</v>
      </c>
      <c r="CC126" t="s">
        <v>94</v>
      </c>
      <c r="CD126">
        <v>8000</v>
      </c>
      <c r="CE126" t="s">
        <v>80</v>
      </c>
      <c r="CF126" s="2">
        <v>44302</v>
      </c>
      <c r="CI126">
        <v>1</v>
      </c>
      <c r="CJ126">
        <v>1</v>
      </c>
      <c r="CK126">
        <v>21</v>
      </c>
      <c r="CL126" t="s">
        <v>79</v>
      </c>
    </row>
    <row r="127" spans="1:90" x14ac:dyDescent="0.25">
      <c r="A127" t="s">
        <v>211</v>
      </c>
      <c r="B127" t="s">
        <v>212</v>
      </c>
      <c r="C127" t="s">
        <v>72</v>
      </c>
      <c r="E127" t="str">
        <f>"009941027639"</f>
        <v>009941027639</v>
      </c>
      <c r="F127" s="2">
        <v>44301</v>
      </c>
      <c r="G127">
        <v>202110</v>
      </c>
      <c r="H127" t="s">
        <v>192</v>
      </c>
      <c r="I127" t="s">
        <v>193</v>
      </c>
      <c r="J127" t="s">
        <v>218</v>
      </c>
      <c r="K127" t="s">
        <v>73</v>
      </c>
      <c r="L127" t="s">
        <v>74</v>
      </c>
      <c r="M127" t="s">
        <v>75</v>
      </c>
      <c r="N127" t="s">
        <v>213</v>
      </c>
      <c r="O127" t="s">
        <v>100</v>
      </c>
      <c r="P127" t="str">
        <f>"                              "</f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18.45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12.4</v>
      </c>
      <c r="BJ127">
        <v>4.4000000000000004</v>
      </c>
      <c r="BK127">
        <v>13</v>
      </c>
      <c r="BL127">
        <v>101.95</v>
      </c>
      <c r="BM127">
        <v>15.29</v>
      </c>
      <c r="BN127">
        <v>117.24</v>
      </c>
      <c r="BO127">
        <v>117.24</v>
      </c>
      <c r="BQ127" t="s">
        <v>169</v>
      </c>
      <c r="BR127" t="s">
        <v>265</v>
      </c>
      <c r="BS127" s="2">
        <v>44302</v>
      </c>
      <c r="BT127" s="3">
        <v>0.38055555555555554</v>
      </c>
      <c r="BU127" t="s">
        <v>395</v>
      </c>
      <c r="BV127" t="s">
        <v>90</v>
      </c>
      <c r="BY127">
        <v>21879</v>
      </c>
      <c r="CA127" t="s">
        <v>237</v>
      </c>
      <c r="CC127" t="s">
        <v>75</v>
      </c>
      <c r="CD127">
        <v>2090</v>
      </c>
      <c r="CE127" t="s">
        <v>80</v>
      </c>
      <c r="CF127" s="2">
        <v>44302</v>
      </c>
      <c r="CI127">
        <v>1</v>
      </c>
      <c r="CJ127">
        <v>1</v>
      </c>
      <c r="CK127" t="s">
        <v>223</v>
      </c>
      <c r="CL127" t="s">
        <v>79</v>
      </c>
    </row>
    <row r="128" spans="1:90" x14ac:dyDescent="0.25">
      <c r="A128" t="s">
        <v>211</v>
      </c>
      <c r="B128" t="s">
        <v>212</v>
      </c>
      <c r="C128" t="s">
        <v>72</v>
      </c>
      <c r="E128" t="str">
        <f>"009940956797"</f>
        <v>009940956797</v>
      </c>
      <c r="F128" s="2">
        <v>44301</v>
      </c>
      <c r="G128">
        <v>202110</v>
      </c>
      <c r="H128" t="s">
        <v>182</v>
      </c>
      <c r="I128" t="s">
        <v>183</v>
      </c>
      <c r="J128" t="s">
        <v>213</v>
      </c>
      <c r="K128" t="s">
        <v>73</v>
      </c>
      <c r="L128" t="s">
        <v>98</v>
      </c>
      <c r="M128" t="s">
        <v>99</v>
      </c>
      <c r="N128" t="s">
        <v>213</v>
      </c>
      <c r="O128" t="s">
        <v>76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19.059999999999999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100.18</v>
      </c>
      <c r="BM128">
        <v>15.03</v>
      </c>
      <c r="BN128">
        <v>115.21</v>
      </c>
      <c r="BO128">
        <v>115.21</v>
      </c>
      <c r="BQ128" t="s">
        <v>372</v>
      </c>
      <c r="BR128" t="s">
        <v>215</v>
      </c>
      <c r="BS128" s="2">
        <v>44302</v>
      </c>
      <c r="BT128" s="3">
        <v>0.36944444444444446</v>
      </c>
      <c r="BU128" t="s">
        <v>234</v>
      </c>
      <c r="BV128" t="s">
        <v>90</v>
      </c>
      <c r="BY128">
        <v>1200</v>
      </c>
      <c r="BZ128" t="s">
        <v>81</v>
      </c>
      <c r="CA128" t="s">
        <v>208</v>
      </c>
      <c r="CC128" t="s">
        <v>99</v>
      </c>
      <c r="CD128">
        <v>1034</v>
      </c>
      <c r="CE128" t="s">
        <v>80</v>
      </c>
      <c r="CF128" s="2">
        <v>44308</v>
      </c>
      <c r="CI128">
        <v>1</v>
      </c>
      <c r="CJ128">
        <v>1</v>
      </c>
      <c r="CK128">
        <v>23</v>
      </c>
      <c r="CL128" t="s">
        <v>79</v>
      </c>
    </row>
    <row r="129" spans="1:90" x14ac:dyDescent="0.25">
      <c r="A129" t="s">
        <v>211</v>
      </c>
      <c r="B129" t="s">
        <v>212</v>
      </c>
      <c r="C129" t="s">
        <v>72</v>
      </c>
      <c r="E129" t="str">
        <f>"009940995859"</f>
        <v>009940995859</v>
      </c>
      <c r="F129" s="2">
        <v>44301</v>
      </c>
      <c r="G129">
        <v>202110</v>
      </c>
      <c r="H129" t="s">
        <v>182</v>
      </c>
      <c r="I129" t="s">
        <v>183</v>
      </c>
      <c r="J129" t="s">
        <v>213</v>
      </c>
      <c r="K129" t="s">
        <v>73</v>
      </c>
      <c r="L129" t="s">
        <v>119</v>
      </c>
      <c r="M129" t="s">
        <v>120</v>
      </c>
      <c r="N129" t="s">
        <v>213</v>
      </c>
      <c r="O129" t="s">
        <v>76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9.84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51.71</v>
      </c>
      <c r="BM129">
        <v>7.76</v>
      </c>
      <c r="BN129">
        <v>59.47</v>
      </c>
      <c r="BO129">
        <v>59.47</v>
      </c>
      <c r="BQ129" t="s">
        <v>103</v>
      </c>
      <c r="BR129" t="s">
        <v>215</v>
      </c>
      <c r="BS129" s="2">
        <v>44305</v>
      </c>
      <c r="BT129" s="3">
        <v>0.3888888888888889</v>
      </c>
      <c r="BU129" t="s">
        <v>381</v>
      </c>
      <c r="BV129" t="s">
        <v>79</v>
      </c>
      <c r="BW129" t="s">
        <v>110</v>
      </c>
      <c r="BX129" t="s">
        <v>191</v>
      </c>
      <c r="BY129">
        <v>1200</v>
      </c>
      <c r="BZ129" t="s">
        <v>81</v>
      </c>
      <c r="CC129" t="s">
        <v>120</v>
      </c>
      <c r="CD129">
        <v>6530</v>
      </c>
      <c r="CE129" t="s">
        <v>80</v>
      </c>
      <c r="CF129" s="2">
        <v>44307</v>
      </c>
      <c r="CI129">
        <v>1</v>
      </c>
      <c r="CJ129">
        <v>2</v>
      </c>
      <c r="CK129">
        <v>21</v>
      </c>
      <c r="CL129" t="s">
        <v>79</v>
      </c>
    </row>
    <row r="130" spans="1:90" x14ac:dyDescent="0.25">
      <c r="A130" t="s">
        <v>211</v>
      </c>
      <c r="B130" t="s">
        <v>212</v>
      </c>
      <c r="C130" t="s">
        <v>72</v>
      </c>
      <c r="E130" t="str">
        <f>"009940956532"</f>
        <v>009940956532</v>
      </c>
      <c r="F130" s="2">
        <v>44301</v>
      </c>
      <c r="G130">
        <v>202110</v>
      </c>
      <c r="H130" t="s">
        <v>182</v>
      </c>
      <c r="I130" t="s">
        <v>183</v>
      </c>
      <c r="J130" t="s">
        <v>213</v>
      </c>
      <c r="K130" t="s">
        <v>73</v>
      </c>
      <c r="L130" t="s">
        <v>86</v>
      </c>
      <c r="M130" t="s">
        <v>87</v>
      </c>
      <c r="N130" t="s">
        <v>213</v>
      </c>
      <c r="O130" t="s">
        <v>100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111.16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5</v>
      </c>
      <c r="BI130">
        <v>136.1</v>
      </c>
      <c r="BJ130">
        <v>181.3</v>
      </c>
      <c r="BK130">
        <v>182</v>
      </c>
      <c r="BL130">
        <v>589.20000000000005</v>
      </c>
      <c r="BM130">
        <v>88.38</v>
      </c>
      <c r="BN130">
        <v>677.58</v>
      </c>
      <c r="BO130">
        <v>677.58</v>
      </c>
      <c r="BQ130" t="s">
        <v>103</v>
      </c>
      <c r="BR130" t="s">
        <v>400</v>
      </c>
      <c r="BS130" s="2">
        <v>44302</v>
      </c>
      <c r="BT130" s="3">
        <v>0.44444444444444442</v>
      </c>
      <c r="BU130" t="s">
        <v>401</v>
      </c>
      <c r="BV130" t="s">
        <v>90</v>
      </c>
      <c r="BY130">
        <v>695140</v>
      </c>
      <c r="CA130" t="s">
        <v>143</v>
      </c>
      <c r="CC130" t="s">
        <v>87</v>
      </c>
      <c r="CD130">
        <v>4091</v>
      </c>
      <c r="CE130" t="s">
        <v>80</v>
      </c>
      <c r="CF130" s="2">
        <v>44305</v>
      </c>
      <c r="CI130">
        <v>1</v>
      </c>
      <c r="CJ130">
        <v>1</v>
      </c>
      <c r="CK130" t="s">
        <v>102</v>
      </c>
      <c r="CL130" t="s">
        <v>79</v>
      </c>
    </row>
    <row r="131" spans="1:90" x14ac:dyDescent="0.25">
      <c r="A131" t="s">
        <v>211</v>
      </c>
      <c r="B131" t="s">
        <v>212</v>
      </c>
      <c r="C131" t="s">
        <v>72</v>
      </c>
      <c r="E131" t="str">
        <f>"009940956798"</f>
        <v>009940956798</v>
      </c>
      <c r="F131" s="2">
        <v>44301</v>
      </c>
      <c r="G131">
        <v>202110</v>
      </c>
      <c r="H131" t="s">
        <v>182</v>
      </c>
      <c r="I131" t="s">
        <v>183</v>
      </c>
      <c r="J131" t="s">
        <v>213</v>
      </c>
      <c r="K131" t="s">
        <v>73</v>
      </c>
      <c r="L131" t="s">
        <v>98</v>
      </c>
      <c r="M131" t="s">
        <v>99</v>
      </c>
      <c r="N131" t="s">
        <v>213</v>
      </c>
      <c r="O131" t="s">
        <v>100</v>
      </c>
      <c r="P131" t="str">
        <f>"STORES                        "</f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37.33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37</v>
      </c>
      <c r="BJ131">
        <v>42.2</v>
      </c>
      <c r="BK131">
        <v>43</v>
      </c>
      <c r="BL131">
        <v>201.19</v>
      </c>
      <c r="BM131">
        <v>30.18</v>
      </c>
      <c r="BN131">
        <v>231.37</v>
      </c>
      <c r="BO131">
        <v>231.37</v>
      </c>
      <c r="BQ131" t="s">
        <v>402</v>
      </c>
      <c r="BR131" t="s">
        <v>215</v>
      </c>
      <c r="BS131" s="2">
        <v>44302</v>
      </c>
      <c r="BT131" s="3">
        <v>0.36944444444444446</v>
      </c>
      <c r="BU131" t="s">
        <v>234</v>
      </c>
      <c r="BV131" t="s">
        <v>90</v>
      </c>
      <c r="BY131">
        <v>211200</v>
      </c>
      <c r="CA131" t="s">
        <v>208</v>
      </c>
      <c r="CC131" t="s">
        <v>99</v>
      </c>
      <c r="CD131">
        <v>1034</v>
      </c>
      <c r="CE131" t="s">
        <v>80</v>
      </c>
      <c r="CF131" s="2">
        <v>44308</v>
      </c>
      <c r="CI131">
        <v>1</v>
      </c>
      <c r="CJ131">
        <v>1</v>
      </c>
      <c r="CK131" t="s">
        <v>168</v>
      </c>
      <c r="CL131" t="s">
        <v>79</v>
      </c>
    </row>
    <row r="132" spans="1:90" x14ac:dyDescent="0.25">
      <c r="A132" t="s">
        <v>211</v>
      </c>
      <c r="B132" t="s">
        <v>212</v>
      </c>
      <c r="C132" t="s">
        <v>72</v>
      </c>
      <c r="E132" t="str">
        <f>"009940696745"</f>
        <v>009940696745</v>
      </c>
      <c r="F132" s="2">
        <v>44301</v>
      </c>
      <c r="G132">
        <v>202110</v>
      </c>
      <c r="H132" t="s">
        <v>98</v>
      </c>
      <c r="I132" t="s">
        <v>99</v>
      </c>
      <c r="J132" t="s">
        <v>231</v>
      </c>
      <c r="K132" t="s">
        <v>73</v>
      </c>
      <c r="L132" t="s">
        <v>74</v>
      </c>
      <c r="M132" t="s">
        <v>75</v>
      </c>
      <c r="N132" t="s">
        <v>213</v>
      </c>
      <c r="O132" t="s">
        <v>100</v>
      </c>
      <c r="P132" t="str">
        <f>"083 601 5869                  "</f>
        <v xml:space="preserve">083 601 5869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43.64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3</v>
      </c>
      <c r="BI132">
        <v>66</v>
      </c>
      <c r="BJ132">
        <v>43.6</v>
      </c>
      <c r="BK132">
        <v>66</v>
      </c>
      <c r="BL132">
        <v>234.33</v>
      </c>
      <c r="BM132">
        <v>35.15</v>
      </c>
      <c r="BN132">
        <v>269.48</v>
      </c>
      <c r="BO132">
        <v>269.48</v>
      </c>
      <c r="BQ132" t="s">
        <v>169</v>
      </c>
      <c r="BR132" t="s">
        <v>232</v>
      </c>
      <c r="BS132" s="2">
        <v>44302</v>
      </c>
      <c r="BT132" s="3">
        <v>0.38055555555555554</v>
      </c>
      <c r="BU132" t="s">
        <v>395</v>
      </c>
      <c r="BV132" t="s">
        <v>90</v>
      </c>
      <c r="BY132">
        <v>72600</v>
      </c>
      <c r="CA132" t="s">
        <v>237</v>
      </c>
      <c r="CC132" t="s">
        <v>75</v>
      </c>
      <c r="CD132">
        <v>2000</v>
      </c>
      <c r="CE132" t="s">
        <v>80</v>
      </c>
      <c r="CF132" s="2">
        <v>44302</v>
      </c>
      <c r="CI132">
        <v>1</v>
      </c>
      <c r="CJ132">
        <v>1</v>
      </c>
      <c r="CK132" t="s">
        <v>101</v>
      </c>
      <c r="CL132" t="s">
        <v>79</v>
      </c>
    </row>
    <row r="133" spans="1:90" x14ac:dyDescent="0.25">
      <c r="A133" t="s">
        <v>211</v>
      </c>
      <c r="B133" t="s">
        <v>212</v>
      </c>
      <c r="C133" t="s">
        <v>72</v>
      </c>
      <c r="E133" t="str">
        <f>"009939616686"</f>
        <v>009939616686</v>
      </c>
      <c r="F133" s="2">
        <v>44301</v>
      </c>
      <c r="G133">
        <v>202110</v>
      </c>
      <c r="H133" t="s">
        <v>182</v>
      </c>
      <c r="I133" t="s">
        <v>183</v>
      </c>
      <c r="J133" t="s">
        <v>213</v>
      </c>
      <c r="K133" t="s">
        <v>73</v>
      </c>
      <c r="L133" t="s">
        <v>163</v>
      </c>
      <c r="M133" t="s">
        <v>164</v>
      </c>
      <c r="N133" t="s">
        <v>213</v>
      </c>
      <c r="O133" t="s">
        <v>100</v>
      </c>
      <c r="P133" t="str">
        <f>"STORES                        "</f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23.98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12.2</v>
      </c>
      <c r="BJ133">
        <v>10</v>
      </c>
      <c r="BK133">
        <v>13</v>
      </c>
      <c r="BL133">
        <v>131.04</v>
      </c>
      <c r="BM133">
        <v>19.66</v>
      </c>
      <c r="BN133">
        <v>150.69999999999999</v>
      </c>
      <c r="BO133">
        <v>150.69999999999999</v>
      </c>
      <c r="BQ133" t="s">
        <v>214</v>
      </c>
      <c r="BR133" t="s">
        <v>215</v>
      </c>
      <c r="BS133" s="2">
        <v>44302</v>
      </c>
      <c r="BT133" s="3">
        <v>0.48541666666666666</v>
      </c>
      <c r="BU133" t="s">
        <v>216</v>
      </c>
      <c r="BV133" t="s">
        <v>90</v>
      </c>
      <c r="BY133">
        <v>49786.55</v>
      </c>
      <c r="CA133" t="s">
        <v>165</v>
      </c>
      <c r="CC133" t="s">
        <v>164</v>
      </c>
      <c r="CD133">
        <v>850</v>
      </c>
      <c r="CE133" t="s">
        <v>80</v>
      </c>
      <c r="CF133" s="2">
        <v>44302</v>
      </c>
      <c r="CI133">
        <v>1</v>
      </c>
      <c r="CJ133">
        <v>1</v>
      </c>
      <c r="CK133" t="s">
        <v>217</v>
      </c>
      <c r="CL133" t="s">
        <v>79</v>
      </c>
    </row>
    <row r="134" spans="1:90" x14ac:dyDescent="0.25">
      <c r="A134" t="s">
        <v>211</v>
      </c>
      <c r="B134" t="s">
        <v>212</v>
      </c>
      <c r="C134" t="s">
        <v>72</v>
      </c>
      <c r="E134" t="str">
        <f>"009939946708"</f>
        <v>009939946708</v>
      </c>
      <c r="F134" s="2">
        <v>44302</v>
      </c>
      <c r="G134">
        <v>202110</v>
      </c>
      <c r="H134" t="s">
        <v>86</v>
      </c>
      <c r="I134" t="s">
        <v>87</v>
      </c>
      <c r="J134" t="s">
        <v>302</v>
      </c>
      <c r="K134" t="s">
        <v>73</v>
      </c>
      <c r="L134" t="s">
        <v>74</v>
      </c>
      <c r="M134" t="s">
        <v>75</v>
      </c>
      <c r="N134" t="s">
        <v>213</v>
      </c>
      <c r="O134" t="s">
        <v>91</v>
      </c>
      <c r="P134" t="str">
        <f>"210 416 0052                  "</f>
        <v xml:space="preserve">210 416 0052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18.45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96.95</v>
      </c>
      <c r="BM134">
        <v>14.54</v>
      </c>
      <c r="BN134">
        <v>111.49</v>
      </c>
      <c r="BO134">
        <v>111.49</v>
      </c>
      <c r="BQ134" t="s">
        <v>403</v>
      </c>
      <c r="BR134" t="s">
        <v>343</v>
      </c>
      <c r="BS134" s="2">
        <v>44305</v>
      </c>
      <c r="BT134" s="3">
        <v>0.41319444444444442</v>
      </c>
      <c r="BU134" t="s">
        <v>395</v>
      </c>
      <c r="BV134" t="s">
        <v>90</v>
      </c>
      <c r="BY134">
        <v>1200</v>
      </c>
      <c r="BZ134" t="s">
        <v>144</v>
      </c>
      <c r="CA134" t="s">
        <v>132</v>
      </c>
      <c r="CC134" t="s">
        <v>75</v>
      </c>
      <c r="CD134">
        <v>2090</v>
      </c>
      <c r="CE134" t="s">
        <v>80</v>
      </c>
      <c r="CF134" s="2">
        <v>44305</v>
      </c>
      <c r="CI134">
        <v>1</v>
      </c>
      <c r="CJ134">
        <v>1</v>
      </c>
      <c r="CK134">
        <v>31</v>
      </c>
      <c r="CL134" t="s">
        <v>79</v>
      </c>
    </row>
    <row r="135" spans="1:90" x14ac:dyDescent="0.25">
      <c r="A135" t="s">
        <v>211</v>
      </c>
      <c r="B135" t="s">
        <v>212</v>
      </c>
      <c r="C135" t="s">
        <v>72</v>
      </c>
      <c r="E135" t="str">
        <f>"009939946785"</f>
        <v>009939946785</v>
      </c>
      <c r="F135" s="2">
        <v>44302</v>
      </c>
      <c r="G135">
        <v>202110</v>
      </c>
      <c r="H135" t="s">
        <v>86</v>
      </c>
      <c r="I135" t="s">
        <v>87</v>
      </c>
      <c r="J135" t="s">
        <v>302</v>
      </c>
      <c r="K135" t="s">
        <v>73</v>
      </c>
      <c r="L135" t="s">
        <v>182</v>
      </c>
      <c r="M135" t="s">
        <v>183</v>
      </c>
      <c r="N135" t="s">
        <v>213</v>
      </c>
      <c r="O135" t="s">
        <v>91</v>
      </c>
      <c r="P135" t="str">
        <f>"SUREN                         "</f>
        <v xml:space="preserve">SUREN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18.45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96.95</v>
      </c>
      <c r="BM135">
        <v>14.54</v>
      </c>
      <c r="BN135">
        <v>111.49</v>
      </c>
      <c r="BO135">
        <v>111.49</v>
      </c>
      <c r="BQ135" t="s">
        <v>404</v>
      </c>
      <c r="BR135" t="s">
        <v>405</v>
      </c>
      <c r="BS135" s="2">
        <v>44305</v>
      </c>
      <c r="BT135" s="3">
        <v>0.4381944444444445</v>
      </c>
      <c r="BU135" t="s">
        <v>406</v>
      </c>
      <c r="BV135" t="s">
        <v>90</v>
      </c>
      <c r="BY135">
        <v>1200</v>
      </c>
      <c r="BZ135" t="s">
        <v>144</v>
      </c>
      <c r="CA135" t="s">
        <v>132</v>
      </c>
      <c r="CC135" t="s">
        <v>183</v>
      </c>
      <c r="CD135">
        <v>2146</v>
      </c>
      <c r="CE135" t="s">
        <v>80</v>
      </c>
      <c r="CF135" s="2">
        <v>44305</v>
      </c>
      <c r="CI135">
        <v>1</v>
      </c>
      <c r="CJ135">
        <v>1</v>
      </c>
      <c r="CK135">
        <v>31</v>
      </c>
      <c r="CL135" t="s">
        <v>79</v>
      </c>
    </row>
    <row r="136" spans="1:90" x14ac:dyDescent="0.25">
      <c r="A136" t="s">
        <v>211</v>
      </c>
      <c r="B136" t="s">
        <v>212</v>
      </c>
      <c r="C136" t="s">
        <v>72</v>
      </c>
      <c r="E136" t="str">
        <f>"009940776175"</f>
        <v>009940776175</v>
      </c>
      <c r="F136" s="2">
        <v>44302</v>
      </c>
      <c r="G136">
        <v>202110</v>
      </c>
      <c r="H136" t="s">
        <v>88</v>
      </c>
      <c r="I136" t="s">
        <v>89</v>
      </c>
      <c r="J136" t="s">
        <v>238</v>
      </c>
      <c r="K136" t="s">
        <v>73</v>
      </c>
      <c r="L136" t="s">
        <v>84</v>
      </c>
      <c r="M136" t="s">
        <v>85</v>
      </c>
      <c r="N136" t="s">
        <v>407</v>
      </c>
      <c r="O136" t="s">
        <v>100</v>
      </c>
      <c r="P136" t="str">
        <f>"JNB2104160205                 "</f>
        <v xml:space="preserve">JNB2104160205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20.14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110.85</v>
      </c>
      <c r="BM136">
        <v>16.63</v>
      </c>
      <c r="BN136">
        <v>127.48</v>
      </c>
      <c r="BO136">
        <v>127.48</v>
      </c>
      <c r="BQ136" t="s">
        <v>180</v>
      </c>
      <c r="BR136" t="s">
        <v>240</v>
      </c>
      <c r="BS136" s="2">
        <v>44305</v>
      </c>
      <c r="BT136" s="3">
        <v>0.31458333333333333</v>
      </c>
      <c r="BU136" t="s">
        <v>408</v>
      </c>
      <c r="BV136" t="s">
        <v>90</v>
      </c>
      <c r="BY136">
        <v>1200</v>
      </c>
      <c r="CA136" t="s">
        <v>166</v>
      </c>
      <c r="CC136" t="s">
        <v>85</v>
      </c>
      <c r="CD136">
        <v>2194</v>
      </c>
      <c r="CE136" t="s">
        <v>80</v>
      </c>
      <c r="CF136" s="2">
        <v>44305</v>
      </c>
      <c r="CI136">
        <v>2</v>
      </c>
      <c r="CJ136">
        <v>1</v>
      </c>
      <c r="CK136" t="s">
        <v>134</v>
      </c>
      <c r="CL136" t="s">
        <v>79</v>
      </c>
    </row>
    <row r="137" spans="1:90" x14ac:dyDescent="0.25">
      <c r="A137" t="s">
        <v>211</v>
      </c>
      <c r="B137" t="s">
        <v>212</v>
      </c>
      <c r="C137" t="s">
        <v>72</v>
      </c>
      <c r="E137" t="str">
        <f>"009940501179"</f>
        <v>009940501179</v>
      </c>
      <c r="F137" s="2">
        <v>44302</v>
      </c>
      <c r="G137">
        <v>202110</v>
      </c>
      <c r="H137" t="s">
        <v>287</v>
      </c>
      <c r="I137" t="s">
        <v>288</v>
      </c>
      <c r="J137" t="s">
        <v>213</v>
      </c>
      <c r="K137" t="s">
        <v>73</v>
      </c>
      <c r="L137" t="s">
        <v>108</v>
      </c>
      <c r="M137" t="s">
        <v>109</v>
      </c>
      <c r="N137" t="s">
        <v>213</v>
      </c>
      <c r="O137" t="s">
        <v>100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56.52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25</v>
      </c>
      <c r="BJ137">
        <v>37.799999999999997</v>
      </c>
      <c r="BK137">
        <v>38</v>
      </c>
      <c r="BL137">
        <v>302.04000000000002</v>
      </c>
      <c r="BM137">
        <v>45.31</v>
      </c>
      <c r="BN137">
        <v>347.35</v>
      </c>
      <c r="BO137">
        <v>347.35</v>
      </c>
      <c r="BQ137" t="s">
        <v>242</v>
      </c>
      <c r="BR137" t="s">
        <v>289</v>
      </c>
      <c r="BS137" s="2">
        <v>44305</v>
      </c>
      <c r="BT137" s="3">
        <v>0.35416666666666669</v>
      </c>
      <c r="BU137" t="s">
        <v>244</v>
      </c>
      <c r="BV137" t="s">
        <v>90</v>
      </c>
      <c r="BY137">
        <v>189189</v>
      </c>
      <c r="CA137" t="s">
        <v>158</v>
      </c>
      <c r="CC137" t="s">
        <v>109</v>
      </c>
      <c r="CD137">
        <v>300</v>
      </c>
      <c r="CE137" t="s">
        <v>92</v>
      </c>
      <c r="CF137" s="2">
        <v>44305</v>
      </c>
      <c r="CI137">
        <v>1</v>
      </c>
      <c r="CJ137">
        <v>1</v>
      </c>
      <c r="CK137" t="s">
        <v>196</v>
      </c>
      <c r="CL137" t="s">
        <v>79</v>
      </c>
    </row>
    <row r="138" spans="1:90" x14ac:dyDescent="0.25">
      <c r="A138" t="s">
        <v>211</v>
      </c>
      <c r="B138" t="s">
        <v>212</v>
      </c>
      <c r="C138" t="s">
        <v>72</v>
      </c>
      <c r="E138" t="str">
        <f>"009940684702"</f>
        <v>009940684702</v>
      </c>
      <c r="F138" s="2">
        <v>44302</v>
      </c>
      <c r="G138">
        <v>202110</v>
      </c>
      <c r="H138" t="s">
        <v>199</v>
      </c>
      <c r="I138" t="s">
        <v>200</v>
      </c>
      <c r="J138" t="s">
        <v>213</v>
      </c>
      <c r="K138" t="s">
        <v>73</v>
      </c>
      <c r="L138" t="s">
        <v>182</v>
      </c>
      <c r="M138" t="s">
        <v>183</v>
      </c>
      <c r="N138" t="s">
        <v>213</v>
      </c>
      <c r="O138" t="s">
        <v>100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18.45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101.95</v>
      </c>
      <c r="BM138">
        <v>15.29</v>
      </c>
      <c r="BN138">
        <v>117.24</v>
      </c>
      <c r="BO138">
        <v>117.24</v>
      </c>
      <c r="BQ138" t="s">
        <v>409</v>
      </c>
      <c r="BR138" t="s">
        <v>261</v>
      </c>
      <c r="BS138" s="2">
        <v>44305</v>
      </c>
      <c r="BT138" s="3">
        <v>0.4381944444444445</v>
      </c>
      <c r="BU138" t="s">
        <v>406</v>
      </c>
      <c r="BV138" t="s">
        <v>90</v>
      </c>
      <c r="BY138">
        <v>1200</v>
      </c>
      <c r="CA138" t="s">
        <v>132</v>
      </c>
      <c r="CC138" t="s">
        <v>183</v>
      </c>
      <c r="CD138">
        <v>2146</v>
      </c>
      <c r="CE138" t="s">
        <v>80</v>
      </c>
      <c r="CF138" s="2">
        <v>44305</v>
      </c>
      <c r="CI138">
        <v>1</v>
      </c>
      <c r="CJ138">
        <v>1</v>
      </c>
      <c r="CK138" t="s">
        <v>168</v>
      </c>
      <c r="CL138" t="s">
        <v>79</v>
      </c>
    </row>
    <row r="139" spans="1:90" x14ac:dyDescent="0.25">
      <c r="A139" t="s">
        <v>211</v>
      </c>
      <c r="B139" t="s">
        <v>212</v>
      </c>
      <c r="C139" t="s">
        <v>72</v>
      </c>
      <c r="E139" t="str">
        <f>"009940350126"</f>
        <v>009940350126</v>
      </c>
      <c r="F139" s="2">
        <v>44302</v>
      </c>
      <c r="G139">
        <v>202110</v>
      </c>
      <c r="H139" t="s">
        <v>182</v>
      </c>
      <c r="I139" t="s">
        <v>183</v>
      </c>
      <c r="J139" t="s">
        <v>213</v>
      </c>
      <c r="K139" t="s">
        <v>73</v>
      </c>
      <c r="L139" t="s">
        <v>192</v>
      </c>
      <c r="M139" t="s">
        <v>193</v>
      </c>
      <c r="N139" t="s">
        <v>213</v>
      </c>
      <c r="O139" t="s">
        <v>76</v>
      </c>
      <c r="P139" t="str">
        <f t="shared" ref="P139:P145" si="5">"STORES                        "</f>
        <v xml:space="preserve">STORES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27.67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</v>
      </c>
      <c r="BJ139">
        <v>2.7</v>
      </c>
      <c r="BK139">
        <v>3</v>
      </c>
      <c r="BL139">
        <v>145.43</v>
      </c>
      <c r="BM139">
        <v>21.81</v>
      </c>
      <c r="BN139">
        <v>167.24</v>
      </c>
      <c r="BO139">
        <v>167.24</v>
      </c>
      <c r="BQ139" t="s">
        <v>410</v>
      </c>
      <c r="BR139" t="s">
        <v>215</v>
      </c>
      <c r="BS139" s="2">
        <v>44305</v>
      </c>
      <c r="BT139" s="3">
        <v>0.375</v>
      </c>
      <c r="BU139" t="s">
        <v>265</v>
      </c>
      <c r="BV139" t="s">
        <v>90</v>
      </c>
      <c r="BY139">
        <v>13639.85</v>
      </c>
      <c r="BZ139" t="s">
        <v>81</v>
      </c>
      <c r="CC139" t="s">
        <v>193</v>
      </c>
      <c r="CD139">
        <v>9459</v>
      </c>
      <c r="CE139" t="s">
        <v>80</v>
      </c>
      <c r="CF139" s="2">
        <v>44305</v>
      </c>
      <c r="CI139">
        <v>1</v>
      </c>
      <c r="CJ139">
        <v>1</v>
      </c>
      <c r="CK139">
        <v>23</v>
      </c>
      <c r="CL139" t="s">
        <v>79</v>
      </c>
    </row>
    <row r="140" spans="1:90" x14ac:dyDescent="0.25">
      <c r="A140" t="s">
        <v>211</v>
      </c>
      <c r="B140" t="s">
        <v>212</v>
      </c>
      <c r="C140" t="s">
        <v>72</v>
      </c>
      <c r="E140" t="str">
        <f>"009938681280"</f>
        <v>009938681280</v>
      </c>
      <c r="F140" s="2">
        <v>44302</v>
      </c>
      <c r="G140">
        <v>202110</v>
      </c>
      <c r="H140" t="s">
        <v>182</v>
      </c>
      <c r="I140" t="s">
        <v>183</v>
      </c>
      <c r="J140" t="s">
        <v>213</v>
      </c>
      <c r="K140" t="s">
        <v>73</v>
      </c>
      <c r="L140" t="s">
        <v>229</v>
      </c>
      <c r="M140" t="s">
        <v>230</v>
      </c>
      <c r="N140" t="s">
        <v>213</v>
      </c>
      <c r="O140" t="s">
        <v>76</v>
      </c>
      <c r="P140" t="str">
        <f t="shared" si="5"/>
        <v xml:space="preserve">STORES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19.059999999999999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100.18</v>
      </c>
      <c r="BM140">
        <v>15.03</v>
      </c>
      <c r="BN140">
        <v>115.21</v>
      </c>
      <c r="BO140">
        <v>115.21</v>
      </c>
      <c r="BQ140" t="s">
        <v>103</v>
      </c>
      <c r="BR140" t="s">
        <v>215</v>
      </c>
      <c r="BS140" s="2">
        <v>44305</v>
      </c>
      <c r="BT140" s="3">
        <v>0.37222222222222223</v>
      </c>
      <c r="BU140" t="s">
        <v>411</v>
      </c>
      <c r="BV140" t="s">
        <v>90</v>
      </c>
      <c r="BY140">
        <v>1200</v>
      </c>
      <c r="BZ140" t="s">
        <v>95</v>
      </c>
      <c r="CA140" t="s">
        <v>312</v>
      </c>
      <c r="CC140" t="s">
        <v>230</v>
      </c>
      <c r="CD140">
        <v>450</v>
      </c>
      <c r="CE140" t="s">
        <v>80</v>
      </c>
      <c r="CF140" s="2">
        <v>44305</v>
      </c>
      <c r="CI140">
        <v>1</v>
      </c>
      <c r="CJ140">
        <v>1</v>
      </c>
      <c r="CK140">
        <v>23</v>
      </c>
      <c r="CL140" t="s">
        <v>79</v>
      </c>
    </row>
    <row r="141" spans="1:90" x14ac:dyDescent="0.25">
      <c r="A141" t="s">
        <v>211</v>
      </c>
      <c r="B141" t="s">
        <v>212</v>
      </c>
      <c r="C141" t="s">
        <v>72</v>
      </c>
      <c r="E141" t="str">
        <f>"009940957392"</f>
        <v>009940957392</v>
      </c>
      <c r="F141" s="2">
        <v>44302</v>
      </c>
      <c r="G141">
        <v>202110</v>
      </c>
      <c r="H141" t="s">
        <v>182</v>
      </c>
      <c r="I141" t="s">
        <v>183</v>
      </c>
      <c r="J141" t="s">
        <v>213</v>
      </c>
      <c r="K141" t="s">
        <v>73</v>
      </c>
      <c r="L141" t="s">
        <v>93</v>
      </c>
      <c r="M141" t="s">
        <v>94</v>
      </c>
      <c r="N141" t="s">
        <v>213</v>
      </c>
      <c r="O141" t="s">
        <v>76</v>
      </c>
      <c r="P141" t="str">
        <f t="shared" si="5"/>
        <v xml:space="preserve">STORES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29.5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5.8</v>
      </c>
      <c r="BJ141">
        <v>3.5</v>
      </c>
      <c r="BK141">
        <v>6</v>
      </c>
      <c r="BL141">
        <v>155.05000000000001</v>
      </c>
      <c r="BM141">
        <v>23.26</v>
      </c>
      <c r="BN141">
        <v>178.31</v>
      </c>
      <c r="BO141">
        <v>178.31</v>
      </c>
      <c r="BQ141" t="s">
        <v>263</v>
      </c>
      <c r="BR141" t="s">
        <v>215</v>
      </c>
      <c r="BS141" s="2">
        <v>44305</v>
      </c>
      <c r="BT141" s="3">
        <v>0.36319444444444443</v>
      </c>
      <c r="BU141" t="s">
        <v>142</v>
      </c>
      <c r="BV141" t="s">
        <v>90</v>
      </c>
      <c r="BY141">
        <v>17657.45</v>
      </c>
      <c r="BZ141" t="s">
        <v>81</v>
      </c>
      <c r="CA141" t="s">
        <v>125</v>
      </c>
      <c r="CC141" t="s">
        <v>94</v>
      </c>
      <c r="CD141">
        <v>8000</v>
      </c>
      <c r="CE141" t="s">
        <v>80</v>
      </c>
      <c r="CF141" s="2">
        <v>44306</v>
      </c>
      <c r="CI141">
        <v>1</v>
      </c>
      <c r="CJ141">
        <v>1</v>
      </c>
      <c r="CK141">
        <v>21</v>
      </c>
      <c r="CL141" t="s">
        <v>79</v>
      </c>
    </row>
    <row r="142" spans="1:90" x14ac:dyDescent="0.25">
      <c r="A142" t="s">
        <v>211</v>
      </c>
      <c r="B142" t="s">
        <v>212</v>
      </c>
      <c r="C142" t="s">
        <v>72</v>
      </c>
      <c r="E142" t="str">
        <f>"009940995847"</f>
        <v>009940995847</v>
      </c>
      <c r="F142" s="2">
        <v>44302</v>
      </c>
      <c r="G142">
        <v>202110</v>
      </c>
      <c r="H142" t="s">
        <v>182</v>
      </c>
      <c r="I142" t="s">
        <v>183</v>
      </c>
      <c r="J142" t="s">
        <v>213</v>
      </c>
      <c r="K142" t="s">
        <v>73</v>
      </c>
      <c r="L142" t="s">
        <v>192</v>
      </c>
      <c r="M142" t="s">
        <v>193</v>
      </c>
      <c r="N142" t="s">
        <v>213</v>
      </c>
      <c r="O142" t="s">
        <v>100</v>
      </c>
      <c r="P142" t="str">
        <f t="shared" si="5"/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19.98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</v>
      </c>
      <c r="BJ142">
        <v>0.2</v>
      </c>
      <c r="BK142">
        <v>1</v>
      </c>
      <c r="BL142">
        <v>110.02</v>
      </c>
      <c r="BM142">
        <v>16.5</v>
      </c>
      <c r="BN142">
        <v>126.52</v>
      </c>
      <c r="BO142">
        <v>126.52</v>
      </c>
      <c r="BQ142" t="s">
        <v>103</v>
      </c>
      <c r="BR142" t="s">
        <v>412</v>
      </c>
      <c r="BS142" s="2">
        <v>44305</v>
      </c>
      <c r="BT142" s="3">
        <v>0.375</v>
      </c>
      <c r="BU142" t="s">
        <v>265</v>
      </c>
      <c r="BV142" t="s">
        <v>90</v>
      </c>
      <c r="BY142">
        <v>1200</v>
      </c>
      <c r="CC142" t="s">
        <v>193</v>
      </c>
      <c r="CD142">
        <v>9459</v>
      </c>
      <c r="CE142" t="s">
        <v>80</v>
      </c>
      <c r="CF142" s="2">
        <v>44305</v>
      </c>
      <c r="CI142">
        <v>1</v>
      </c>
      <c r="CJ142">
        <v>1</v>
      </c>
      <c r="CK142" t="s">
        <v>131</v>
      </c>
      <c r="CL142" t="s">
        <v>79</v>
      </c>
    </row>
    <row r="143" spans="1:90" x14ac:dyDescent="0.25">
      <c r="A143" t="s">
        <v>211</v>
      </c>
      <c r="B143" t="s">
        <v>212</v>
      </c>
      <c r="C143" t="s">
        <v>72</v>
      </c>
      <c r="E143" t="str">
        <f>"009940995846"</f>
        <v>009940995846</v>
      </c>
      <c r="F143" s="2">
        <v>44302</v>
      </c>
      <c r="G143">
        <v>202110</v>
      </c>
      <c r="H143" t="s">
        <v>182</v>
      </c>
      <c r="I143" t="s">
        <v>183</v>
      </c>
      <c r="J143" t="s">
        <v>213</v>
      </c>
      <c r="K143" t="s">
        <v>73</v>
      </c>
      <c r="L143" t="s">
        <v>177</v>
      </c>
      <c r="M143" t="s">
        <v>178</v>
      </c>
      <c r="N143" t="s">
        <v>413</v>
      </c>
      <c r="O143" t="s">
        <v>100</v>
      </c>
      <c r="P143" t="str">
        <f t="shared" si="5"/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23.98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1.9</v>
      </c>
      <c r="BJ143">
        <v>1.9</v>
      </c>
      <c r="BK143">
        <v>2</v>
      </c>
      <c r="BL143">
        <v>131.04</v>
      </c>
      <c r="BM143">
        <v>19.66</v>
      </c>
      <c r="BN143">
        <v>150.69999999999999</v>
      </c>
      <c r="BO143">
        <v>150.69999999999999</v>
      </c>
      <c r="BQ143" t="s">
        <v>414</v>
      </c>
      <c r="BR143" t="s">
        <v>415</v>
      </c>
      <c r="BS143" s="2">
        <v>44308</v>
      </c>
      <c r="BT143" s="3">
        <v>0.5625</v>
      </c>
      <c r="BU143" t="s">
        <v>416</v>
      </c>
      <c r="BV143" t="s">
        <v>79</v>
      </c>
      <c r="BW143" t="s">
        <v>110</v>
      </c>
      <c r="BX143" t="s">
        <v>417</v>
      </c>
      <c r="BY143">
        <v>9647.59</v>
      </c>
      <c r="CC143" t="s">
        <v>178</v>
      </c>
      <c r="CD143">
        <v>8800</v>
      </c>
      <c r="CE143" t="s">
        <v>80</v>
      </c>
      <c r="CF143" s="2">
        <v>44309</v>
      </c>
      <c r="CI143">
        <v>2</v>
      </c>
      <c r="CJ143">
        <v>4</v>
      </c>
      <c r="CK143" t="s">
        <v>217</v>
      </c>
      <c r="CL143" t="s">
        <v>79</v>
      </c>
    </row>
    <row r="144" spans="1:90" x14ac:dyDescent="0.25">
      <c r="A144" t="s">
        <v>211</v>
      </c>
      <c r="B144" t="s">
        <v>212</v>
      </c>
      <c r="C144" t="s">
        <v>72</v>
      </c>
      <c r="E144" t="str">
        <f>"009940957401"</f>
        <v>009940957401</v>
      </c>
      <c r="F144" s="2">
        <v>44302</v>
      </c>
      <c r="G144">
        <v>202110</v>
      </c>
      <c r="H144" t="s">
        <v>182</v>
      </c>
      <c r="I144" t="s">
        <v>183</v>
      </c>
      <c r="J144" t="s">
        <v>213</v>
      </c>
      <c r="K144" t="s">
        <v>73</v>
      </c>
      <c r="L144" t="s">
        <v>133</v>
      </c>
      <c r="M144" t="s">
        <v>94</v>
      </c>
      <c r="N144" t="s">
        <v>213</v>
      </c>
      <c r="O144" t="s">
        <v>100</v>
      </c>
      <c r="P144" t="str">
        <f t="shared" si="5"/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95.18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101.6</v>
      </c>
      <c r="BJ144">
        <v>98.5</v>
      </c>
      <c r="BK144">
        <v>102</v>
      </c>
      <c r="BL144">
        <v>505.18</v>
      </c>
      <c r="BM144">
        <v>75.78</v>
      </c>
      <c r="BN144">
        <v>580.96</v>
      </c>
      <c r="BO144">
        <v>580.96</v>
      </c>
      <c r="BQ144" t="s">
        <v>263</v>
      </c>
      <c r="BR144" t="s">
        <v>215</v>
      </c>
      <c r="BS144" s="2">
        <v>44305</v>
      </c>
      <c r="BT144" s="3">
        <v>0.40416666666666662</v>
      </c>
      <c r="BU144" t="s">
        <v>138</v>
      </c>
      <c r="BV144" t="s">
        <v>90</v>
      </c>
      <c r="BY144">
        <v>492287.91</v>
      </c>
      <c r="CA144" t="s">
        <v>226</v>
      </c>
      <c r="CC144" t="s">
        <v>94</v>
      </c>
      <c r="CD144">
        <v>8000</v>
      </c>
      <c r="CE144" t="s">
        <v>80</v>
      </c>
      <c r="CF144" s="2">
        <v>44306</v>
      </c>
      <c r="CI144">
        <v>2</v>
      </c>
      <c r="CJ144">
        <v>1</v>
      </c>
      <c r="CK144" t="s">
        <v>134</v>
      </c>
      <c r="CL144" t="s">
        <v>79</v>
      </c>
    </row>
    <row r="145" spans="1:90" x14ac:dyDescent="0.25">
      <c r="A145" t="s">
        <v>211</v>
      </c>
      <c r="B145" t="s">
        <v>212</v>
      </c>
      <c r="C145" t="s">
        <v>72</v>
      </c>
      <c r="E145" t="str">
        <f>"009935501133"</f>
        <v>009935501133</v>
      </c>
      <c r="F145" s="2">
        <v>44302</v>
      </c>
      <c r="G145">
        <v>202110</v>
      </c>
      <c r="H145" t="s">
        <v>182</v>
      </c>
      <c r="I145" t="s">
        <v>183</v>
      </c>
      <c r="J145" t="s">
        <v>213</v>
      </c>
      <c r="K145" t="s">
        <v>73</v>
      </c>
      <c r="L145" t="s">
        <v>88</v>
      </c>
      <c r="M145" t="s">
        <v>89</v>
      </c>
      <c r="N145" t="s">
        <v>213</v>
      </c>
      <c r="O145" t="s">
        <v>100</v>
      </c>
      <c r="P145" t="str">
        <f t="shared" si="5"/>
        <v xml:space="preserve">STORES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45.15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3</v>
      </c>
      <c r="BI145">
        <v>43.7</v>
      </c>
      <c r="BJ145">
        <v>36.700000000000003</v>
      </c>
      <c r="BK145">
        <v>44</v>
      </c>
      <c r="BL145">
        <v>242.29</v>
      </c>
      <c r="BM145">
        <v>36.340000000000003</v>
      </c>
      <c r="BN145">
        <v>278.63</v>
      </c>
      <c r="BO145">
        <v>278.63</v>
      </c>
      <c r="BQ145" t="s">
        <v>103</v>
      </c>
      <c r="BR145" t="s">
        <v>215</v>
      </c>
      <c r="BS145" s="2">
        <v>44305</v>
      </c>
      <c r="BT145" s="3">
        <v>0.41597222222222219</v>
      </c>
      <c r="BU145" t="s">
        <v>349</v>
      </c>
      <c r="BV145" t="s">
        <v>90</v>
      </c>
      <c r="BY145">
        <v>183299.73</v>
      </c>
      <c r="CA145" t="s">
        <v>113</v>
      </c>
      <c r="CC145" t="s">
        <v>89</v>
      </c>
      <c r="CD145">
        <v>6045</v>
      </c>
      <c r="CE145" t="s">
        <v>80</v>
      </c>
      <c r="CF145" s="2">
        <v>44305</v>
      </c>
      <c r="CI145">
        <v>2</v>
      </c>
      <c r="CJ145">
        <v>1</v>
      </c>
      <c r="CK145" t="s">
        <v>134</v>
      </c>
      <c r="CL145" t="s">
        <v>79</v>
      </c>
    </row>
    <row r="146" spans="1:90" x14ac:dyDescent="0.25">
      <c r="A146" t="s">
        <v>211</v>
      </c>
      <c r="B146" t="s">
        <v>212</v>
      </c>
      <c r="C146" t="s">
        <v>72</v>
      </c>
      <c r="E146" t="str">
        <f>"009940776177"</f>
        <v>009940776177</v>
      </c>
      <c r="F146" s="2">
        <v>44305</v>
      </c>
      <c r="G146">
        <v>202110</v>
      </c>
      <c r="H146" t="s">
        <v>88</v>
      </c>
      <c r="I146" t="s">
        <v>89</v>
      </c>
      <c r="J146" t="s">
        <v>238</v>
      </c>
      <c r="K146" t="s">
        <v>73</v>
      </c>
      <c r="L146" t="s">
        <v>269</v>
      </c>
      <c r="M146" t="s">
        <v>270</v>
      </c>
      <c r="N146" t="s">
        <v>418</v>
      </c>
      <c r="O146" t="s">
        <v>100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19.53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5</v>
      </c>
      <c r="BJ146">
        <v>19.3</v>
      </c>
      <c r="BK146">
        <v>20</v>
      </c>
      <c r="BL146">
        <v>107.64</v>
      </c>
      <c r="BM146">
        <v>16.149999999999999</v>
      </c>
      <c r="BN146">
        <v>123.79</v>
      </c>
      <c r="BO146">
        <v>123.79</v>
      </c>
      <c r="BQ146" t="s">
        <v>419</v>
      </c>
      <c r="BR146" t="s">
        <v>240</v>
      </c>
      <c r="BS146" s="2">
        <v>44307</v>
      </c>
      <c r="BT146" s="3">
        <v>0.625</v>
      </c>
      <c r="BU146" t="s">
        <v>420</v>
      </c>
      <c r="BV146" t="s">
        <v>90</v>
      </c>
      <c r="BY146">
        <v>96350</v>
      </c>
      <c r="CC146" t="s">
        <v>270</v>
      </c>
      <c r="CD146">
        <v>5320</v>
      </c>
      <c r="CE146" t="s">
        <v>80</v>
      </c>
      <c r="CF146" s="2">
        <v>44308</v>
      </c>
      <c r="CI146">
        <v>7</v>
      </c>
      <c r="CJ146">
        <v>2</v>
      </c>
      <c r="CK146" t="s">
        <v>101</v>
      </c>
      <c r="CL146" t="s">
        <v>79</v>
      </c>
    </row>
    <row r="147" spans="1:90" x14ac:dyDescent="0.25">
      <c r="A147" t="s">
        <v>211</v>
      </c>
      <c r="B147" t="s">
        <v>212</v>
      </c>
      <c r="C147" t="s">
        <v>72</v>
      </c>
      <c r="E147" t="str">
        <f>"009939530836"</f>
        <v>009939530836</v>
      </c>
      <c r="F147" s="2">
        <v>44305</v>
      </c>
      <c r="G147">
        <v>202110</v>
      </c>
      <c r="H147" t="s">
        <v>330</v>
      </c>
      <c r="I147" t="s">
        <v>331</v>
      </c>
      <c r="J147" t="s">
        <v>421</v>
      </c>
      <c r="K147" t="s">
        <v>73</v>
      </c>
      <c r="L147" t="s">
        <v>171</v>
      </c>
      <c r="M147" t="s">
        <v>172</v>
      </c>
      <c r="N147" t="s">
        <v>218</v>
      </c>
      <c r="O147" t="s">
        <v>100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26.38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20</v>
      </c>
      <c r="BJ147">
        <v>22.3</v>
      </c>
      <c r="BK147">
        <v>23</v>
      </c>
      <c r="BL147">
        <v>143.62</v>
      </c>
      <c r="BM147">
        <v>21.54</v>
      </c>
      <c r="BN147">
        <v>165.16</v>
      </c>
      <c r="BO147">
        <v>165.16</v>
      </c>
      <c r="BQ147" t="s">
        <v>422</v>
      </c>
      <c r="BR147" t="s">
        <v>423</v>
      </c>
      <c r="BS147" s="2">
        <v>44306</v>
      </c>
      <c r="BT147" s="3">
        <v>0.49722222222222223</v>
      </c>
      <c r="BU147" t="s">
        <v>170</v>
      </c>
      <c r="BV147" t="s">
        <v>90</v>
      </c>
      <c r="BY147">
        <v>111300</v>
      </c>
      <c r="CA147" t="s">
        <v>225</v>
      </c>
      <c r="CC147" t="s">
        <v>172</v>
      </c>
      <c r="CD147">
        <v>699</v>
      </c>
      <c r="CE147" t="s">
        <v>80</v>
      </c>
      <c r="CF147" s="2">
        <v>44306</v>
      </c>
      <c r="CI147">
        <v>1</v>
      </c>
      <c r="CJ147">
        <v>1</v>
      </c>
      <c r="CK147" t="s">
        <v>131</v>
      </c>
      <c r="CL147" t="s">
        <v>79</v>
      </c>
    </row>
    <row r="148" spans="1:90" x14ac:dyDescent="0.25">
      <c r="A148" t="s">
        <v>211</v>
      </c>
      <c r="B148" t="s">
        <v>212</v>
      </c>
      <c r="C148" t="s">
        <v>72</v>
      </c>
      <c r="E148" t="str">
        <f>"009940177493"</f>
        <v>009940177493</v>
      </c>
      <c r="F148" s="2">
        <v>44305</v>
      </c>
      <c r="G148">
        <v>202110</v>
      </c>
      <c r="H148" t="s">
        <v>108</v>
      </c>
      <c r="I148" t="s">
        <v>109</v>
      </c>
      <c r="J148" t="s">
        <v>213</v>
      </c>
      <c r="K148" t="s">
        <v>73</v>
      </c>
      <c r="L148" t="s">
        <v>194</v>
      </c>
      <c r="M148" t="s">
        <v>195</v>
      </c>
      <c r="N148" t="s">
        <v>424</v>
      </c>
      <c r="O148" t="s">
        <v>100</v>
      </c>
      <c r="P148" t="str">
        <f>"                              "</f>
        <v xml:space="preserve">    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23.98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2</v>
      </c>
      <c r="BI148">
        <v>8.1</v>
      </c>
      <c r="BJ148">
        <v>12.3</v>
      </c>
      <c r="BK148">
        <v>13</v>
      </c>
      <c r="BL148">
        <v>131.04</v>
      </c>
      <c r="BM148">
        <v>19.66</v>
      </c>
      <c r="BN148">
        <v>150.69999999999999</v>
      </c>
      <c r="BO148">
        <v>150.69999999999999</v>
      </c>
      <c r="BQ148" t="s">
        <v>243</v>
      </c>
      <c r="BR148" t="s">
        <v>242</v>
      </c>
      <c r="BS148" s="2">
        <v>44306</v>
      </c>
      <c r="BT148" s="3">
        <v>0.4055555555555555</v>
      </c>
      <c r="BU148" t="s">
        <v>243</v>
      </c>
      <c r="BV148" t="s">
        <v>90</v>
      </c>
      <c r="BY148">
        <v>61677</v>
      </c>
      <c r="CC148" t="s">
        <v>195</v>
      </c>
      <c r="CD148">
        <v>2745</v>
      </c>
      <c r="CE148" t="s">
        <v>80</v>
      </c>
      <c r="CF148" s="2">
        <v>44309</v>
      </c>
      <c r="CI148">
        <v>1</v>
      </c>
      <c r="CJ148">
        <v>1</v>
      </c>
      <c r="CK148" t="s">
        <v>135</v>
      </c>
      <c r="CL148" t="s">
        <v>79</v>
      </c>
    </row>
    <row r="149" spans="1:90" x14ac:dyDescent="0.25">
      <c r="A149" t="s">
        <v>211</v>
      </c>
      <c r="B149" t="s">
        <v>212</v>
      </c>
      <c r="C149" t="s">
        <v>72</v>
      </c>
      <c r="E149" t="str">
        <f>"009940957391"</f>
        <v>009940957391</v>
      </c>
      <c r="F149" s="2">
        <v>44305</v>
      </c>
      <c r="G149">
        <v>202110</v>
      </c>
      <c r="H149" t="s">
        <v>182</v>
      </c>
      <c r="I149" t="s">
        <v>183</v>
      </c>
      <c r="J149" t="s">
        <v>213</v>
      </c>
      <c r="K149" t="s">
        <v>73</v>
      </c>
      <c r="L149" t="s">
        <v>93</v>
      </c>
      <c r="M149" t="s">
        <v>94</v>
      </c>
      <c r="N149" t="s">
        <v>213</v>
      </c>
      <c r="O149" t="s">
        <v>76</v>
      </c>
      <c r="P149" t="str">
        <f>"STORES                        "</f>
        <v xml:space="preserve">STORES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9.84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51.71</v>
      </c>
      <c r="BM149">
        <v>7.76</v>
      </c>
      <c r="BN149">
        <v>59.47</v>
      </c>
      <c r="BO149">
        <v>59.47</v>
      </c>
      <c r="BQ149" t="s">
        <v>425</v>
      </c>
      <c r="BR149" t="s">
        <v>215</v>
      </c>
      <c r="BS149" s="2">
        <v>44306</v>
      </c>
      <c r="BT149" s="3">
        <v>0.3527777777777778</v>
      </c>
      <c r="BU149" t="s">
        <v>426</v>
      </c>
      <c r="BV149" t="s">
        <v>90</v>
      </c>
      <c r="BY149">
        <v>1200</v>
      </c>
      <c r="BZ149" t="s">
        <v>81</v>
      </c>
      <c r="CA149" t="s">
        <v>125</v>
      </c>
      <c r="CC149" t="s">
        <v>94</v>
      </c>
      <c r="CD149">
        <v>8000</v>
      </c>
      <c r="CE149" t="s">
        <v>80</v>
      </c>
      <c r="CF149" s="2">
        <v>44307</v>
      </c>
      <c r="CI149">
        <v>1</v>
      </c>
      <c r="CJ149">
        <v>1</v>
      </c>
      <c r="CK149">
        <v>21</v>
      </c>
      <c r="CL149" t="s">
        <v>79</v>
      </c>
    </row>
    <row r="150" spans="1:90" x14ac:dyDescent="0.25">
      <c r="A150" t="s">
        <v>211</v>
      </c>
      <c r="B150" t="s">
        <v>212</v>
      </c>
      <c r="C150" t="s">
        <v>72</v>
      </c>
      <c r="E150" t="str">
        <f>"009940148805"</f>
        <v>009940148805</v>
      </c>
      <c r="F150" s="2">
        <v>44305</v>
      </c>
      <c r="G150">
        <v>202110</v>
      </c>
      <c r="H150" t="s">
        <v>119</v>
      </c>
      <c r="I150" t="s">
        <v>120</v>
      </c>
      <c r="J150" t="s">
        <v>427</v>
      </c>
      <c r="K150" t="s">
        <v>73</v>
      </c>
      <c r="L150" t="s">
        <v>84</v>
      </c>
      <c r="M150" t="s">
        <v>85</v>
      </c>
      <c r="N150" t="s">
        <v>428</v>
      </c>
      <c r="O150" t="s">
        <v>100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23.98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131.04</v>
      </c>
      <c r="BM150">
        <v>19.66</v>
      </c>
      <c r="BN150">
        <v>150.69999999999999</v>
      </c>
      <c r="BO150">
        <v>150.69999999999999</v>
      </c>
      <c r="BQ150" t="s">
        <v>429</v>
      </c>
      <c r="BR150" t="s">
        <v>430</v>
      </c>
      <c r="BS150" s="2">
        <v>44309</v>
      </c>
      <c r="BT150" s="3">
        <v>0.3125</v>
      </c>
      <c r="BU150" t="s">
        <v>361</v>
      </c>
      <c r="BV150" t="s">
        <v>79</v>
      </c>
      <c r="BY150">
        <v>1200</v>
      </c>
      <c r="CC150" t="s">
        <v>85</v>
      </c>
      <c r="CD150">
        <v>2125</v>
      </c>
      <c r="CE150" t="s">
        <v>80</v>
      </c>
      <c r="CF150" s="2">
        <v>44309</v>
      </c>
      <c r="CI150">
        <v>0</v>
      </c>
      <c r="CJ150">
        <v>0</v>
      </c>
      <c r="CK150" t="s">
        <v>217</v>
      </c>
      <c r="CL150" t="s">
        <v>79</v>
      </c>
    </row>
    <row r="151" spans="1:90" x14ac:dyDescent="0.25">
      <c r="A151" t="s">
        <v>211</v>
      </c>
      <c r="B151" t="s">
        <v>212</v>
      </c>
      <c r="C151" t="s">
        <v>72</v>
      </c>
      <c r="E151" t="str">
        <f>"009940956602"</f>
        <v>009940956602</v>
      </c>
      <c r="F151" s="2">
        <v>44305</v>
      </c>
      <c r="G151">
        <v>202110</v>
      </c>
      <c r="H151" t="s">
        <v>182</v>
      </c>
      <c r="I151" t="s">
        <v>183</v>
      </c>
      <c r="J151" t="s">
        <v>213</v>
      </c>
      <c r="K151" t="s">
        <v>73</v>
      </c>
      <c r="L151" t="s">
        <v>108</v>
      </c>
      <c r="M151" t="s">
        <v>109</v>
      </c>
      <c r="N151" t="s">
        <v>213</v>
      </c>
      <c r="O151" t="s">
        <v>100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18.45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2.6</v>
      </c>
      <c r="BJ151">
        <v>4.5999999999999996</v>
      </c>
      <c r="BK151">
        <v>5</v>
      </c>
      <c r="BL151">
        <v>101.95</v>
      </c>
      <c r="BM151">
        <v>15.29</v>
      </c>
      <c r="BN151">
        <v>117.24</v>
      </c>
      <c r="BO151">
        <v>117.24</v>
      </c>
      <c r="BQ151" t="s">
        <v>355</v>
      </c>
      <c r="BR151" t="s">
        <v>215</v>
      </c>
      <c r="BS151" s="2">
        <v>44306</v>
      </c>
      <c r="BT151" s="3">
        <v>0.36527777777777781</v>
      </c>
      <c r="BU151" t="s">
        <v>244</v>
      </c>
      <c r="BV151" t="s">
        <v>90</v>
      </c>
      <c r="BY151">
        <v>22958.33</v>
      </c>
      <c r="CA151" t="s">
        <v>158</v>
      </c>
      <c r="CC151" t="s">
        <v>109</v>
      </c>
      <c r="CD151">
        <v>299</v>
      </c>
      <c r="CE151" t="s">
        <v>80</v>
      </c>
      <c r="CF151" s="2">
        <v>44306</v>
      </c>
      <c r="CI151">
        <v>1</v>
      </c>
      <c r="CJ151">
        <v>1</v>
      </c>
      <c r="CK151" t="s">
        <v>168</v>
      </c>
      <c r="CL151" t="s">
        <v>79</v>
      </c>
    </row>
    <row r="152" spans="1:90" x14ac:dyDescent="0.25">
      <c r="A152" t="s">
        <v>211</v>
      </c>
      <c r="B152" t="s">
        <v>212</v>
      </c>
      <c r="C152" t="s">
        <v>72</v>
      </c>
      <c r="E152" t="str">
        <f>"009940956603"</f>
        <v>009940956603</v>
      </c>
      <c r="F152" s="2">
        <v>44305</v>
      </c>
      <c r="G152">
        <v>202110</v>
      </c>
      <c r="H152" t="s">
        <v>182</v>
      </c>
      <c r="I152" t="s">
        <v>183</v>
      </c>
      <c r="J152" t="s">
        <v>213</v>
      </c>
      <c r="K152" t="s">
        <v>73</v>
      </c>
      <c r="L152" t="s">
        <v>108</v>
      </c>
      <c r="M152" t="s">
        <v>109</v>
      </c>
      <c r="N152" t="s">
        <v>213</v>
      </c>
      <c r="O152" t="s">
        <v>100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18.45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101.95</v>
      </c>
      <c r="BM152">
        <v>15.29</v>
      </c>
      <c r="BN152">
        <v>117.24</v>
      </c>
      <c r="BO152">
        <v>117.24</v>
      </c>
      <c r="BQ152" t="s">
        <v>355</v>
      </c>
      <c r="BR152" t="s">
        <v>215</v>
      </c>
      <c r="BS152" s="2">
        <v>44306</v>
      </c>
      <c r="BT152" s="3">
        <v>0.36527777777777781</v>
      </c>
      <c r="BU152" t="s">
        <v>244</v>
      </c>
      <c r="BV152" t="s">
        <v>90</v>
      </c>
      <c r="BY152">
        <v>1200</v>
      </c>
      <c r="CA152" t="s">
        <v>158</v>
      </c>
      <c r="CC152" t="s">
        <v>109</v>
      </c>
      <c r="CD152">
        <v>299</v>
      </c>
      <c r="CE152" t="s">
        <v>80</v>
      </c>
      <c r="CF152" s="2">
        <v>44306</v>
      </c>
      <c r="CI152">
        <v>1</v>
      </c>
      <c r="CJ152">
        <v>1</v>
      </c>
      <c r="CK152" t="s">
        <v>168</v>
      </c>
      <c r="CL152" t="s">
        <v>79</v>
      </c>
    </row>
    <row r="153" spans="1:90" x14ac:dyDescent="0.25">
      <c r="A153" t="s">
        <v>211</v>
      </c>
      <c r="B153" t="s">
        <v>212</v>
      </c>
      <c r="C153" t="s">
        <v>72</v>
      </c>
      <c r="E153" t="str">
        <f>"009940957403"</f>
        <v>009940957403</v>
      </c>
      <c r="F153" s="2">
        <v>44305</v>
      </c>
      <c r="G153">
        <v>202110</v>
      </c>
      <c r="H153" t="s">
        <v>182</v>
      </c>
      <c r="I153" t="s">
        <v>183</v>
      </c>
      <c r="J153" t="s">
        <v>213</v>
      </c>
      <c r="K153" t="s">
        <v>73</v>
      </c>
      <c r="L153" t="s">
        <v>133</v>
      </c>
      <c r="M153" t="s">
        <v>94</v>
      </c>
      <c r="N153" t="s">
        <v>213</v>
      </c>
      <c r="O153" t="s">
        <v>100</v>
      </c>
      <c r="P153" t="str">
        <f>"NA                            "</f>
        <v xml:space="preserve">NA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36.53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20.5</v>
      </c>
      <c r="BJ153">
        <v>33.4</v>
      </c>
      <c r="BK153">
        <v>34</v>
      </c>
      <c r="BL153">
        <v>196.97</v>
      </c>
      <c r="BM153">
        <v>29.55</v>
      </c>
      <c r="BN153">
        <v>226.52</v>
      </c>
      <c r="BO153">
        <v>226.52</v>
      </c>
      <c r="BQ153" t="s">
        <v>263</v>
      </c>
      <c r="BR153" t="s">
        <v>215</v>
      </c>
      <c r="BS153" s="2">
        <v>44307</v>
      </c>
      <c r="BT153" s="3">
        <v>0.37986111111111115</v>
      </c>
      <c r="BU153" t="s">
        <v>138</v>
      </c>
      <c r="BV153" t="s">
        <v>90</v>
      </c>
      <c r="BY153">
        <v>167050.25</v>
      </c>
      <c r="CA153" t="s">
        <v>226</v>
      </c>
      <c r="CC153" t="s">
        <v>94</v>
      </c>
      <c r="CD153">
        <v>8000</v>
      </c>
      <c r="CE153" t="s">
        <v>80</v>
      </c>
      <c r="CF153" s="2">
        <v>44308</v>
      </c>
      <c r="CI153">
        <v>2</v>
      </c>
      <c r="CJ153">
        <v>2</v>
      </c>
      <c r="CK153" t="s">
        <v>134</v>
      </c>
      <c r="CL153" t="s">
        <v>79</v>
      </c>
    </row>
    <row r="154" spans="1:90" x14ac:dyDescent="0.25">
      <c r="A154" t="s">
        <v>211</v>
      </c>
      <c r="B154" t="s">
        <v>212</v>
      </c>
      <c r="C154" t="s">
        <v>72</v>
      </c>
      <c r="E154" t="str">
        <f>"009940995845"</f>
        <v>009940995845</v>
      </c>
      <c r="F154" s="2">
        <v>44305</v>
      </c>
      <c r="G154">
        <v>202110</v>
      </c>
      <c r="H154" t="s">
        <v>182</v>
      </c>
      <c r="I154" t="s">
        <v>183</v>
      </c>
      <c r="J154" t="s">
        <v>213</v>
      </c>
      <c r="K154" t="s">
        <v>73</v>
      </c>
      <c r="L154" t="s">
        <v>431</v>
      </c>
      <c r="M154" t="s">
        <v>198</v>
      </c>
      <c r="N154" t="s">
        <v>213</v>
      </c>
      <c r="O154" t="s">
        <v>100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13.84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4.8</v>
      </c>
      <c r="BJ154">
        <v>10.7</v>
      </c>
      <c r="BK154">
        <v>11</v>
      </c>
      <c r="BL154">
        <v>77.72</v>
      </c>
      <c r="BM154">
        <v>11.66</v>
      </c>
      <c r="BN154">
        <v>89.38</v>
      </c>
      <c r="BO154">
        <v>89.38</v>
      </c>
      <c r="BQ154" t="s">
        <v>432</v>
      </c>
      <c r="BR154" t="s">
        <v>103</v>
      </c>
      <c r="BS154" s="2">
        <v>44307</v>
      </c>
      <c r="BT154" s="3">
        <v>0.61111111111111105</v>
      </c>
      <c r="BU154" t="s">
        <v>175</v>
      </c>
      <c r="BV154" t="s">
        <v>79</v>
      </c>
      <c r="BW154" t="s">
        <v>114</v>
      </c>
      <c r="BX154" t="s">
        <v>139</v>
      </c>
      <c r="BY154">
        <v>53524.800000000003</v>
      </c>
      <c r="CA154" t="s">
        <v>376</v>
      </c>
      <c r="CC154" t="s">
        <v>198</v>
      </c>
      <c r="CD154">
        <v>1200</v>
      </c>
      <c r="CE154" t="s">
        <v>80</v>
      </c>
      <c r="CF154" s="2">
        <v>44307</v>
      </c>
      <c r="CI154">
        <v>1</v>
      </c>
      <c r="CJ154">
        <v>2</v>
      </c>
      <c r="CK154" t="s">
        <v>187</v>
      </c>
      <c r="CL154" t="s">
        <v>79</v>
      </c>
    </row>
    <row r="155" spans="1:90" x14ac:dyDescent="0.25">
      <c r="A155" t="s">
        <v>211</v>
      </c>
      <c r="B155" t="s">
        <v>212</v>
      </c>
      <c r="C155" t="s">
        <v>72</v>
      </c>
      <c r="E155" t="str">
        <f>"009940956533"</f>
        <v>009940956533</v>
      </c>
      <c r="F155" s="2">
        <v>44302</v>
      </c>
      <c r="G155">
        <v>202110</v>
      </c>
      <c r="H155" t="s">
        <v>182</v>
      </c>
      <c r="I155" t="s">
        <v>183</v>
      </c>
      <c r="J155" t="s">
        <v>213</v>
      </c>
      <c r="K155" t="s">
        <v>73</v>
      </c>
      <c r="L155" t="s">
        <v>86</v>
      </c>
      <c r="M155" t="s">
        <v>87</v>
      </c>
      <c r="N155" t="s">
        <v>213</v>
      </c>
      <c r="O155" t="s">
        <v>100</v>
      </c>
      <c r="P155" t="str">
        <f>"STORES                        "</f>
        <v xml:space="preserve">STORES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74.45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13</v>
      </c>
      <c r="BI155">
        <v>79.099999999999994</v>
      </c>
      <c r="BJ155">
        <v>118.3</v>
      </c>
      <c r="BK155">
        <v>119</v>
      </c>
      <c r="BL155">
        <v>396.25</v>
      </c>
      <c r="BM155">
        <v>59.44</v>
      </c>
      <c r="BN155">
        <v>455.69</v>
      </c>
      <c r="BO155">
        <v>455.69</v>
      </c>
      <c r="BQ155" t="s">
        <v>328</v>
      </c>
      <c r="BR155" t="s">
        <v>215</v>
      </c>
      <c r="BS155" s="2">
        <v>44306</v>
      </c>
      <c r="BT155" s="3">
        <v>0.4916666666666667</v>
      </c>
      <c r="BU155" t="s">
        <v>210</v>
      </c>
      <c r="BV155" t="s">
        <v>79</v>
      </c>
      <c r="BY155">
        <v>591698.23</v>
      </c>
      <c r="CA155" t="s">
        <v>433</v>
      </c>
      <c r="CC155" t="s">
        <v>87</v>
      </c>
      <c r="CD155">
        <v>4091</v>
      </c>
      <c r="CE155" t="s">
        <v>80</v>
      </c>
      <c r="CF155" s="2">
        <v>44306</v>
      </c>
      <c r="CI155">
        <v>1</v>
      </c>
      <c r="CJ155">
        <v>2</v>
      </c>
      <c r="CK155" t="s">
        <v>102</v>
      </c>
      <c r="CL155" t="s">
        <v>79</v>
      </c>
    </row>
    <row r="156" spans="1:90" x14ac:dyDescent="0.25">
      <c r="A156" t="s">
        <v>211</v>
      </c>
      <c r="B156" t="s">
        <v>212</v>
      </c>
      <c r="C156" t="s">
        <v>72</v>
      </c>
      <c r="E156" t="str">
        <f>"009937038338"</f>
        <v>009937038338</v>
      </c>
      <c r="F156" s="2">
        <v>44287</v>
      </c>
      <c r="G156">
        <v>202110</v>
      </c>
      <c r="H156" t="s">
        <v>281</v>
      </c>
      <c r="I156" t="s">
        <v>282</v>
      </c>
      <c r="J156" t="s">
        <v>213</v>
      </c>
      <c r="K156" t="s">
        <v>73</v>
      </c>
      <c r="L156" t="s">
        <v>171</v>
      </c>
      <c r="M156" t="s">
        <v>172</v>
      </c>
      <c r="N156" t="s">
        <v>213</v>
      </c>
      <c r="O156" t="s">
        <v>100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208.9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12</v>
      </c>
      <c r="BJ156">
        <v>176</v>
      </c>
      <c r="BK156">
        <v>176</v>
      </c>
      <c r="BL156">
        <v>1285.18</v>
      </c>
      <c r="BM156">
        <v>192.78</v>
      </c>
      <c r="BN156">
        <v>1477.96</v>
      </c>
      <c r="BO156">
        <v>1477.96</v>
      </c>
      <c r="BQ156" t="s">
        <v>162</v>
      </c>
      <c r="BR156" t="s">
        <v>434</v>
      </c>
      <c r="BS156" s="2">
        <v>44287</v>
      </c>
      <c r="BT156" s="3">
        <v>0.45833333333333331</v>
      </c>
      <c r="BU156" t="s">
        <v>435</v>
      </c>
      <c r="BV156" t="s">
        <v>90</v>
      </c>
      <c r="BY156">
        <v>880000</v>
      </c>
      <c r="CC156" t="s">
        <v>172</v>
      </c>
      <c r="CD156">
        <v>700</v>
      </c>
      <c r="CE156" t="s">
        <v>80</v>
      </c>
      <c r="CF156" s="2">
        <v>44287</v>
      </c>
      <c r="CI156">
        <v>0</v>
      </c>
      <c r="CJ156">
        <v>0</v>
      </c>
      <c r="CK156" t="s">
        <v>196</v>
      </c>
      <c r="CL156" t="s">
        <v>79</v>
      </c>
    </row>
    <row r="157" spans="1:90" x14ac:dyDescent="0.25">
      <c r="A157" t="s">
        <v>211</v>
      </c>
      <c r="B157" t="s">
        <v>212</v>
      </c>
      <c r="C157" t="s">
        <v>72</v>
      </c>
      <c r="E157" t="str">
        <f>"009940684706"</f>
        <v>009940684706</v>
      </c>
      <c r="F157" s="2">
        <v>44305</v>
      </c>
      <c r="G157">
        <v>202110</v>
      </c>
      <c r="H157" t="s">
        <v>199</v>
      </c>
      <c r="I157" t="s">
        <v>200</v>
      </c>
      <c r="J157" t="s">
        <v>213</v>
      </c>
      <c r="K157" t="s">
        <v>73</v>
      </c>
      <c r="L157" t="s">
        <v>192</v>
      </c>
      <c r="M157" t="s">
        <v>193</v>
      </c>
      <c r="N157" t="s">
        <v>213</v>
      </c>
      <c r="O157" t="s">
        <v>100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16.91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93.87</v>
      </c>
      <c r="BM157">
        <v>14.08</v>
      </c>
      <c r="BN157">
        <v>107.95</v>
      </c>
      <c r="BO157">
        <v>107.95</v>
      </c>
      <c r="BQ157" t="s">
        <v>358</v>
      </c>
      <c r="BR157" t="s">
        <v>261</v>
      </c>
      <c r="BS157" s="2">
        <v>44307</v>
      </c>
      <c r="BT157" s="3">
        <v>0.375</v>
      </c>
      <c r="BU157" t="s">
        <v>265</v>
      </c>
      <c r="BV157" t="s">
        <v>79</v>
      </c>
      <c r="BW157" t="s">
        <v>176</v>
      </c>
      <c r="BX157" t="s">
        <v>139</v>
      </c>
      <c r="BY157">
        <v>1200</v>
      </c>
      <c r="CC157" t="s">
        <v>193</v>
      </c>
      <c r="CD157">
        <v>9460</v>
      </c>
      <c r="CE157" t="s">
        <v>80</v>
      </c>
      <c r="CF157" s="2">
        <v>44307</v>
      </c>
      <c r="CI157">
        <v>1</v>
      </c>
      <c r="CJ157">
        <v>2</v>
      </c>
      <c r="CK157" t="s">
        <v>101</v>
      </c>
      <c r="CL157" t="s">
        <v>79</v>
      </c>
    </row>
    <row r="158" spans="1:90" x14ac:dyDescent="0.25">
      <c r="A158" t="s">
        <v>211</v>
      </c>
      <c r="B158" t="s">
        <v>212</v>
      </c>
      <c r="C158" t="s">
        <v>72</v>
      </c>
      <c r="E158" t="str">
        <f>"009940746384"</f>
        <v>009940746384</v>
      </c>
      <c r="F158" s="2">
        <v>44306</v>
      </c>
      <c r="G158">
        <v>202110</v>
      </c>
      <c r="H158" t="s">
        <v>93</v>
      </c>
      <c r="I158" t="s">
        <v>94</v>
      </c>
      <c r="J158" t="s">
        <v>213</v>
      </c>
      <c r="K158" t="s">
        <v>73</v>
      </c>
      <c r="L158" t="s">
        <v>182</v>
      </c>
      <c r="M158" t="s">
        <v>183</v>
      </c>
      <c r="N158" t="s">
        <v>213</v>
      </c>
      <c r="O158" t="s">
        <v>76</v>
      </c>
      <c r="P158" t="str">
        <f>"JNB2104200009                 "</f>
        <v xml:space="preserve">JNB2104200009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14.76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0.4</v>
      </c>
      <c r="BJ158">
        <v>2.9</v>
      </c>
      <c r="BK158">
        <v>3</v>
      </c>
      <c r="BL158">
        <v>77.55</v>
      </c>
      <c r="BM158">
        <v>11.63</v>
      </c>
      <c r="BN158">
        <v>89.18</v>
      </c>
      <c r="BO158">
        <v>89.18</v>
      </c>
      <c r="BQ158" t="s">
        <v>286</v>
      </c>
      <c r="BR158" t="s">
        <v>263</v>
      </c>
      <c r="BS158" s="2">
        <v>44307</v>
      </c>
      <c r="BT158" s="3">
        <v>0.41319444444444442</v>
      </c>
      <c r="BU158" t="s">
        <v>126</v>
      </c>
      <c r="BV158" t="s">
        <v>90</v>
      </c>
      <c r="BY158">
        <v>14661.33</v>
      </c>
      <c r="BZ158" t="s">
        <v>81</v>
      </c>
      <c r="CA158" t="s">
        <v>132</v>
      </c>
      <c r="CC158" t="s">
        <v>183</v>
      </c>
      <c r="CD158">
        <v>2146</v>
      </c>
      <c r="CE158" t="s">
        <v>80</v>
      </c>
      <c r="CF158" s="2">
        <v>44307</v>
      </c>
      <c r="CI158">
        <v>1</v>
      </c>
      <c r="CJ158">
        <v>1</v>
      </c>
      <c r="CK158">
        <v>21</v>
      </c>
      <c r="CL158" t="s">
        <v>79</v>
      </c>
    </row>
    <row r="159" spans="1:90" x14ac:dyDescent="0.25">
      <c r="A159" t="s">
        <v>211</v>
      </c>
      <c r="B159" t="s">
        <v>212</v>
      </c>
      <c r="C159" t="s">
        <v>72</v>
      </c>
      <c r="E159" t="str">
        <f>"009940684703"</f>
        <v>009940684703</v>
      </c>
      <c r="F159" s="2">
        <v>44305</v>
      </c>
      <c r="G159">
        <v>202110</v>
      </c>
      <c r="H159" t="s">
        <v>199</v>
      </c>
      <c r="I159" t="s">
        <v>200</v>
      </c>
      <c r="J159" t="s">
        <v>213</v>
      </c>
      <c r="K159" t="s">
        <v>73</v>
      </c>
      <c r="L159" t="s">
        <v>74</v>
      </c>
      <c r="M159" t="s">
        <v>75</v>
      </c>
      <c r="N159" t="s">
        <v>436</v>
      </c>
      <c r="O159" t="s">
        <v>100</v>
      </c>
      <c r="P159" t="str">
        <f>"                              "</f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18.45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101.95</v>
      </c>
      <c r="BM159">
        <v>15.29</v>
      </c>
      <c r="BN159">
        <v>117.24</v>
      </c>
      <c r="BO159">
        <v>117.24</v>
      </c>
      <c r="BQ159" t="s">
        <v>437</v>
      </c>
      <c r="BR159" t="s">
        <v>261</v>
      </c>
      <c r="BS159" s="2">
        <v>44306</v>
      </c>
      <c r="BT159" s="3">
        <v>0.43194444444444446</v>
      </c>
      <c r="BU159" t="s">
        <v>438</v>
      </c>
      <c r="BV159" t="s">
        <v>90</v>
      </c>
      <c r="BY159">
        <v>1200</v>
      </c>
      <c r="CA159" t="s">
        <v>439</v>
      </c>
      <c r="CC159" t="s">
        <v>75</v>
      </c>
      <c r="CD159">
        <v>2090</v>
      </c>
      <c r="CE159" t="s">
        <v>80</v>
      </c>
      <c r="CF159" s="2">
        <v>44306</v>
      </c>
      <c r="CI159">
        <v>1</v>
      </c>
      <c r="CJ159">
        <v>1</v>
      </c>
      <c r="CK159" t="s">
        <v>168</v>
      </c>
      <c r="CL159" t="s">
        <v>79</v>
      </c>
    </row>
    <row r="160" spans="1:90" x14ac:dyDescent="0.25">
      <c r="A160" t="s">
        <v>211</v>
      </c>
      <c r="B160" t="s">
        <v>212</v>
      </c>
      <c r="C160" t="s">
        <v>72</v>
      </c>
      <c r="E160" t="str">
        <f>"009940885767"</f>
        <v>009940885767</v>
      </c>
      <c r="F160" s="2">
        <v>44306</v>
      </c>
      <c r="G160">
        <v>202110</v>
      </c>
      <c r="H160" t="s">
        <v>171</v>
      </c>
      <c r="I160" t="s">
        <v>172</v>
      </c>
      <c r="J160" t="s">
        <v>213</v>
      </c>
      <c r="K160" t="s">
        <v>73</v>
      </c>
      <c r="L160" t="s">
        <v>182</v>
      </c>
      <c r="M160" t="s">
        <v>183</v>
      </c>
      <c r="N160" t="s">
        <v>440</v>
      </c>
      <c r="O160" t="s">
        <v>100</v>
      </c>
      <c r="P160" t="str">
        <f>"                              "</f>
        <v xml:space="preserve">   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18.45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0.2</v>
      </c>
      <c r="BK160">
        <v>1</v>
      </c>
      <c r="BL160">
        <v>101.95</v>
      </c>
      <c r="BM160">
        <v>15.29</v>
      </c>
      <c r="BN160">
        <v>117.24</v>
      </c>
      <c r="BO160">
        <v>117.24</v>
      </c>
      <c r="BQ160" t="s">
        <v>441</v>
      </c>
      <c r="BR160" t="s">
        <v>442</v>
      </c>
      <c r="BS160" s="2">
        <v>44307</v>
      </c>
      <c r="BT160" s="3">
        <v>0.38958333333333334</v>
      </c>
      <c r="BU160" t="s">
        <v>406</v>
      </c>
      <c r="BV160" t="s">
        <v>90</v>
      </c>
      <c r="BY160">
        <v>1200</v>
      </c>
      <c r="CA160" t="s">
        <v>132</v>
      </c>
      <c r="CC160" t="s">
        <v>183</v>
      </c>
      <c r="CD160">
        <v>2146</v>
      </c>
      <c r="CE160" t="s">
        <v>80</v>
      </c>
      <c r="CF160" s="2">
        <v>44307</v>
      </c>
      <c r="CI160">
        <v>1</v>
      </c>
      <c r="CJ160">
        <v>1</v>
      </c>
      <c r="CK160" t="s">
        <v>168</v>
      </c>
      <c r="CL160" t="s">
        <v>79</v>
      </c>
    </row>
    <row r="161" spans="1:90" x14ac:dyDescent="0.25">
      <c r="A161" t="s">
        <v>211</v>
      </c>
      <c r="B161" t="s">
        <v>212</v>
      </c>
      <c r="C161" t="s">
        <v>72</v>
      </c>
      <c r="E161" t="str">
        <f>"009940696767"</f>
        <v>009940696767</v>
      </c>
      <c r="F161" s="2">
        <v>44306</v>
      </c>
      <c r="G161">
        <v>202110</v>
      </c>
      <c r="H161" t="s">
        <v>98</v>
      </c>
      <c r="I161" t="s">
        <v>99</v>
      </c>
      <c r="J161" t="s">
        <v>231</v>
      </c>
      <c r="K161" t="s">
        <v>73</v>
      </c>
      <c r="L161" t="s">
        <v>74</v>
      </c>
      <c r="M161" t="s">
        <v>75</v>
      </c>
      <c r="N161" t="s">
        <v>213</v>
      </c>
      <c r="O161" t="s">
        <v>100</v>
      </c>
      <c r="P161" t="str">
        <f>"083 601 5869                  "</f>
        <v xml:space="preserve">083 601 5869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50.97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2</v>
      </c>
      <c r="BI161">
        <v>80</v>
      </c>
      <c r="BJ161">
        <v>40.9</v>
      </c>
      <c r="BK161">
        <v>80</v>
      </c>
      <c r="BL161">
        <v>272.88</v>
      </c>
      <c r="BM161">
        <v>40.93</v>
      </c>
      <c r="BN161">
        <v>313.81</v>
      </c>
      <c r="BO161">
        <v>313.81</v>
      </c>
      <c r="BQ161" t="s">
        <v>443</v>
      </c>
      <c r="BR161" t="s">
        <v>232</v>
      </c>
      <c r="BS161" s="2">
        <v>44307</v>
      </c>
      <c r="BT161" s="3">
        <v>0.5</v>
      </c>
      <c r="BU161" t="s">
        <v>140</v>
      </c>
      <c r="BV161" t="s">
        <v>90</v>
      </c>
      <c r="BY161">
        <v>102312</v>
      </c>
      <c r="CA161" t="s">
        <v>153</v>
      </c>
      <c r="CC161" t="s">
        <v>75</v>
      </c>
      <c r="CD161">
        <v>2000</v>
      </c>
      <c r="CE161" t="s">
        <v>80</v>
      </c>
      <c r="CF161" s="2">
        <v>44308</v>
      </c>
      <c r="CI161">
        <v>1</v>
      </c>
      <c r="CJ161">
        <v>1</v>
      </c>
      <c r="CK161" t="s">
        <v>101</v>
      </c>
      <c r="CL161" t="s">
        <v>79</v>
      </c>
    </row>
    <row r="162" spans="1:90" x14ac:dyDescent="0.25">
      <c r="A162" t="s">
        <v>211</v>
      </c>
      <c r="B162" t="s">
        <v>212</v>
      </c>
      <c r="C162" t="s">
        <v>72</v>
      </c>
      <c r="E162" t="str">
        <f>"009940696766"</f>
        <v>009940696766</v>
      </c>
      <c r="F162" s="2">
        <v>44306</v>
      </c>
      <c r="G162">
        <v>202110</v>
      </c>
      <c r="H162" t="s">
        <v>98</v>
      </c>
      <c r="I162" t="s">
        <v>99</v>
      </c>
      <c r="J162" t="s">
        <v>231</v>
      </c>
      <c r="K162" t="s">
        <v>73</v>
      </c>
      <c r="L162" t="s">
        <v>431</v>
      </c>
      <c r="M162" t="s">
        <v>198</v>
      </c>
      <c r="N162" t="s">
        <v>213</v>
      </c>
      <c r="O162" t="s">
        <v>100</v>
      </c>
      <c r="P162" t="str">
        <f>"083 601 5869                  "</f>
        <v xml:space="preserve">083 601 5869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66.709999999999994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4</v>
      </c>
      <c r="BI162">
        <v>42.7</v>
      </c>
      <c r="BJ162">
        <v>68.2</v>
      </c>
      <c r="BK162">
        <v>69</v>
      </c>
      <c r="BL162">
        <v>355.6</v>
      </c>
      <c r="BM162">
        <v>53.34</v>
      </c>
      <c r="BN162">
        <v>408.94</v>
      </c>
      <c r="BO162">
        <v>408.94</v>
      </c>
      <c r="BQ162" t="s">
        <v>175</v>
      </c>
      <c r="BR162" t="s">
        <v>232</v>
      </c>
      <c r="BS162" s="2">
        <v>44307</v>
      </c>
      <c r="BT162" s="3">
        <v>0.375</v>
      </c>
      <c r="BU162" t="s">
        <v>155</v>
      </c>
      <c r="BV162" t="s">
        <v>90</v>
      </c>
      <c r="BY162">
        <v>289038.59000000003</v>
      </c>
      <c r="CA162" t="s">
        <v>444</v>
      </c>
      <c r="CC162" t="s">
        <v>198</v>
      </c>
      <c r="CD162">
        <v>1200</v>
      </c>
      <c r="CE162" t="s">
        <v>80</v>
      </c>
      <c r="CF162" s="2">
        <v>44307</v>
      </c>
      <c r="CI162">
        <v>1</v>
      </c>
      <c r="CJ162">
        <v>1</v>
      </c>
      <c r="CK162" t="s">
        <v>134</v>
      </c>
      <c r="CL162" t="s">
        <v>79</v>
      </c>
    </row>
    <row r="163" spans="1:90" x14ac:dyDescent="0.25">
      <c r="A163" t="s">
        <v>211</v>
      </c>
      <c r="B163" t="s">
        <v>212</v>
      </c>
      <c r="C163" t="s">
        <v>72</v>
      </c>
      <c r="E163" t="str">
        <f>"009940177495"</f>
        <v>009940177495</v>
      </c>
      <c r="F163" s="2">
        <v>44306</v>
      </c>
      <c r="G163">
        <v>202110</v>
      </c>
      <c r="H163" t="s">
        <v>108</v>
      </c>
      <c r="I163" t="s">
        <v>109</v>
      </c>
      <c r="J163" t="s">
        <v>213</v>
      </c>
      <c r="K163" t="s">
        <v>73</v>
      </c>
      <c r="L163" t="s">
        <v>287</v>
      </c>
      <c r="M163" t="s">
        <v>288</v>
      </c>
      <c r="N163" t="s">
        <v>213</v>
      </c>
      <c r="O163" t="s">
        <v>100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76.33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27</v>
      </c>
      <c r="BJ163">
        <v>52.1</v>
      </c>
      <c r="BK163">
        <v>52</v>
      </c>
      <c r="BL163">
        <v>406.13</v>
      </c>
      <c r="BM163">
        <v>60.92</v>
      </c>
      <c r="BN163">
        <v>467.05</v>
      </c>
      <c r="BO163">
        <v>467.05</v>
      </c>
      <c r="BQ163" t="s">
        <v>289</v>
      </c>
      <c r="BR163" t="s">
        <v>242</v>
      </c>
      <c r="BS163" s="2">
        <v>44307</v>
      </c>
      <c r="BT163" s="3">
        <v>0.43194444444444446</v>
      </c>
      <c r="BU163" t="s">
        <v>290</v>
      </c>
      <c r="BV163" t="s">
        <v>90</v>
      </c>
      <c r="BY163">
        <v>260480</v>
      </c>
      <c r="CA163" t="s">
        <v>291</v>
      </c>
      <c r="CC163" t="s">
        <v>288</v>
      </c>
      <c r="CD163">
        <v>8600</v>
      </c>
      <c r="CE163" t="s">
        <v>92</v>
      </c>
      <c r="CF163" s="2">
        <v>44309</v>
      </c>
      <c r="CI163">
        <v>1</v>
      </c>
      <c r="CJ163">
        <v>1</v>
      </c>
      <c r="CK163" t="s">
        <v>135</v>
      </c>
      <c r="CL163" t="s">
        <v>79</v>
      </c>
    </row>
    <row r="164" spans="1:90" x14ac:dyDescent="0.25">
      <c r="A164" t="s">
        <v>211</v>
      </c>
      <c r="B164" t="s">
        <v>212</v>
      </c>
      <c r="C164" t="s">
        <v>72</v>
      </c>
      <c r="E164" t="str">
        <f>"009940684704"</f>
        <v>009940684704</v>
      </c>
      <c r="F164" s="2">
        <v>44305</v>
      </c>
      <c r="G164">
        <v>202110</v>
      </c>
      <c r="H164" t="s">
        <v>199</v>
      </c>
      <c r="I164" t="s">
        <v>200</v>
      </c>
      <c r="J164" t="s">
        <v>213</v>
      </c>
      <c r="K164" t="s">
        <v>73</v>
      </c>
      <c r="L164" t="s">
        <v>74</v>
      </c>
      <c r="M164" t="s">
        <v>75</v>
      </c>
      <c r="N164" t="s">
        <v>213</v>
      </c>
      <c r="O164" t="s">
        <v>100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18.45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0.2</v>
      </c>
      <c r="BK164">
        <v>1</v>
      </c>
      <c r="BL164">
        <v>101.95</v>
      </c>
      <c r="BM164">
        <v>15.29</v>
      </c>
      <c r="BN164">
        <v>117.24</v>
      </c>
      <c r="BO164">
        <v>117.24</v>
      </c>
      <c r="BQ164" t="s">
        <v>299</v>
      </c>
      <c r="BR164" t="s">
        <v>261</v>
      </c>
      <c r="BS164" s="2">
        <v>44306</v>
      </c>
      <c r="BT164" s="3">
        <v>0.38750000000000001</v>
      </c>
      <c r="BU164" t="s">
        <v>445</v>
      </c>
      <c r="BV164" t="s">
        <v>90</v>
      </c>
      <c r="BY164">
        <v>1200</v>
      </c>
      <c r="CA164" t="s">
        <v>446</v>
      </c>
      <c r="CC164" t="s">
        <v>75</v>
      </c>
      <c r="CD164">
        <v>2196</v>
      </c>
      <c r="CE164" t="s">
        <v>80</v>
      </c>
      <c r="CF164" s="2">
        <v>44306</v>
      </c>
      <c r="CI164">
        <v>1</v>
      </c>
      <c r="CJ164">
        <v>1</v>
      </c>
      <c r="CK164" t="s">
        <v>168</v>
      </c>
      <c r="CL164" t="s">
        <v>79</v>
      </c>
    </row>
    <row r="165" spans="1:90" x14ac:dyDescent="0.25">
      <c r="A165" t="s">
        <v>211</v>
      </c>
      <c r="B165" t="s">
        <v>212</v>
      </c>
      <c r="C165" t="s">
        <v>72</v>
      </c>
      <c r="E165" t="str">
        <f>"009940746385"</f>
        <v>009940746385</v>
      </c>
      <c r="F165" s="2">
        <v>44306</v>
      </c>
      <c r="G165">
        <v>202110</v>
      </c>
      <c r="H165" t="s">
        <v>93</v>
      </c>
      <c r="I165" t="s">
        <v>94</v>
      </c>
      <c r="J165" t="s">
        <v>213</v>
      </c>
      <c r="K165" t="s">
        <v>73</v>
      </c>
      <c r="L165" t="s">
        <v>182</v>
      </c>
      <c r="M165" t="s">
        <v>183</v>
      </c>
      <c r="N165" t="s">
        <v>213</v>
      </c>
      <c r="O165" t="s">
        <v>100</v>
      </c>
      <c r="P165" t="str">
        <f>"                              "</f>
        <v xml:space="preserve"> 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52.05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2</v>
      </c>
      <c r="BI165">
        <v>49.5</v>
      </c>
      <c r="BJ165">
        <v>51.3</v>
      </c>
      <c r="BK165">
        <v>52</v>
      </c>
      <c r="BL165">
        <v>278.55</v>
      </c>
      <c r="BM165">
        <v>41.78</v>
      </c>
      <c r="BN165">
        <v>320.33</v>
      </c>
      <c r="BO165">
        <v>320.33</v>
      </c>
      <c r="BQ165" t="s">
        <v>286</v>
      </c>
      <c r="BR165" t="s">
        <v>263</v>
      </c>
      <c r="BS165" s="2">
        <v>44309</v>
      </c>
      <c r="BT165" s="3">
        <v>0.40833333333333338</v>
      </c>
      <c r="BU165" t="s">
        <v>115</v>
      </c>
      <c r="BV165" t="s">
        <v>79</v>
      </c>
      <c r="BY165">
        <v>256702.6</v>
      </c>
      <c r="CA165" t="s">
        <v>237</v>
      </c>
      <c r="CC165" t="s">
        <v>183</v>
      </c>
      <c r="CD165">
        <v>2146</v>
      </c>
      <c r="CE165" t="s">
        <v>80</v>
      </c>
      <c r="CF165" s="2">
        <v>44309</v>
      </c>
      <c r="CI165">
        <v>2</v>
      </c>
      <c r="CJ165">
        <v>3</v>
      </c>
      <c r="CK165" t="s">
        <v>134</v>
      </c>
      <c r="CL165" t="s">
        <v>79</v>
      </c>
    </row>
    <row r="166" spans="1:90" x14ac:dyDescent="0.25">
      <c r="A166" t="s">
        <v>211</v>
      </c>
      <c r="B166" t="s">
        <v>212</v>
      </c>
      <c r="C166" t="s">
        <v>72</v>
      </c>
      <c r="E166" t="str">
        <f>"009940177491"</f>
        <v>009940177491</v>
      </c>
      <c r="F166" s="2">
        <v>44300</v>
      </c>
      <c r="G166">
        <v>202110</v>
      </c>
      <c r="H166" t="s">
        <v>108</v>
      </c>
      <c r="I166" t="s">
        <v>109</v>
      </c>
      <c r="J166" t="s">
        <v>213</v>
      </c>
      <c r="K166" t="s">
        <v>73</v>
      </c>
      <c r="L166" t="s">
        <v>287</v>
      </c>
      <c r="M166" t="s">
        <v>288</v>
      </c>
      <c r="N166" t="s">
        <v>213</v>
      </c>
      <c r="O166" t="s">
        <v>100</v>
      </c>
      <c r="P166" t="str">
        <f>"                              "</f>
        <v xml:space="preserve">   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69.25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3</v>
      </c>
      <c r="BI166">
        <v>25.2</v>
      </c>
      <c r="BJ166">
        <v>47</v>
      </c>
      <c r="BK166">
        <v>47</v>
      </c>
      <c r="BL166">
        <v>368.95</v>
      </c>
      <c r="BM166">
        <v>55.34</v>
      </c>
      <c r="BN166">
        <v>424.29</v>
      </c>
      <c r="BO166">
        <v>424.29</v>
      </c>
      <c r="BR166" t="s">
        <v>242</v>
      </c>
      <c r="BS166" s="2">
        <v>44301</v>
      </c>
      <c r="BT166" s="3">
        <v>0.42986111111111108</v>
      </c>
      <c r="BU166" t="s">
        <v>290</v>
      </c>
      <c r="BV166" t="s">
        <v>90</v>
      </c>
      <c r="BY166">
        <v>234995</v>
      </c>
      <c r="CA166" t="s">
        <v>291</v>
      </c>
      <c r="CC166" t="s">
        <v>288</v>
      </c>
      <c r="CD166">
        <v>8600</v>
      </c>
      <c r="CE166" t="s">
        <v>80</v>
      </c>
      <c r="CF166" s="2">
        <v>44305</v>
      </c>
      <c r="CI166">
        <v>1</v>
      </c>
      <c r="CJ166">
        <v>1</v>
      </c>
      <c r="CK166" t="s">
        <v>135</v>
      </c>
      <c r="CL166" t="s">
        <v>79</v>
      </c>
    </row>
    <row r="167" spans="1:90" x14ac:dyDescent="0.25">
      <c r="A167" t="s">
        <v>211</v>
      </c>
      <c r="B167" t="s">
        <v>212</v>
      </c>
      <c r="C167" t="s">
        <v>72</v>
      </c>
      <c r="E167" t="str">
        <f>"009940957387"</f>
        <v>009940957387</v>
      </c>
      <c r="F167" s="2">
        <v>44306</v>
      </c>
      <c r="G167">
        <v>202110</v>
      </c>
      <c r="H167" t="s">
        <v>182</v>
      </c>
      <c r="I167" t="s">
        <v>183</v>
      </c>
      <c r="J167" t="s">
        <v>213</v>
      </c>
      <c r="K167" t="s">
        <v>73</v>
      </c>
      <c r="L167" t="s">
        <v>93</v>
      </c>
      <c r="M167" t="s">
        <v>94</v>
      </c>
      <c r="N167" t="s">
        <v>213</v>
      </c>
      <c r="O167" t="s">
        <v>76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9.84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0.5</v>
      </c>
      <c r="BJ167">
        <v>0.2</v>
      </c>
      <c r="BK167">
        <v>0.5</v>
      </c>
      <c r="BL167">
        <v>51.71</v>
      </c>
      <c r="BM167">
        <v>7.76</v>
      </c>
      <c r="BN167">
        <v>59.47</v>
      </c>
      <c r="BO167">
        <v>59.47</v>
      </c>
      <c r="BQ167" t="s">
        <v>263</v>
      </c>
      <c r="BR167" t="s">
        <v>447</v>
      </c>
      <c r="BS167" s="2">
        <v>44307</v>
      </c>
      <c r="BT167" s="3">
        <v>0.35416666666666669</v>
      </c>
      <c r="BU167" t="s">
        <v>448</v>
      </c>
      <c r="BV167" t="s">
        <v>90</v>
      </c>
      <c r="BY167">
        <v>1200</v>
      </c>
      <c r="BZ167" t="s">
        <v>81</v>
      </c>
      <c r="CA167" t="s">
        <v>125</v>
      </c>
      <c r="CC167" t="s">
        <v>94</v>
      </c>
      <c r="CD167">
        <v>8000</v>
      </c>
      <c r="CE167" t="s">
        <v>80</v>
      </c>
      <c r="CF167" s="2">
        <v>44308</v>
      </c>
      <c r="CI167">
        <v>1</v>
      </c>
      <c r="CJ167">
        <v>1</v>
      </c>
      <c r="CK167">
        <v>21</v>
      </c>
      <c r="CL167" t="s">
        <v>79</v>
      </c>
    </row>
    <row r="168" spans="1:90" x14ac:dyDescent="0.25">
      <c r="A168" t="s">
        <v>211</v>
      </c>
      <c r="B168" t="s">
        <v>212</v>
      </c>
      <c r="C168" t="s">
        <v>72</v>
      </c>
      <c r="E168" t="str">
        <f>"009940956796"</f>
        <v>009940956796</v>
      </c>
      <c r="F168" s="2">
        <v>44306</v>
      </c>
      <c r="G168">
        <v>202110</v>
      </c>
      <c r="H168" t="s">
        <v>182</v>
      </c>
      <c r="I168" t="s">
        <v>183</v>
      </c>
      <c r="J168" t="s">
        <v>213</v>
      </c>
      <c r="K168" t="s">
        <v>73</v>
      </c>
      <c r="L168" t="s">
        <v>98</v>
      </c>
      <c r="M168" t="s">
        <v>99</v>
      </c>
      <c r="N168" t="s">
        <v>213</v>
      </c>
      <c r="O168" t="s">
        <v>100</v>
      </c>
      <c r="P168" t="str">
        <f t="shared" ref="P168:P174" si="6"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18.45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0.2</v>
      </c>
      <c r="BJ168">
        <v>1.6</v>
      </c>
      <c r="BK168">
        <v>2</v>
      </c>
      <c r="BL168">
        <v>101.95</v>
      </c>
      <c r="BM168">
        <v>15.29</v>
      </c>
      <c r="BN168">
        <v>117.24</v>
      </c>
      <c r="BO168">
        <v>117.24</v>
      </c>
      <c r="BQ168" t="s">
        <v>372</v>
      </c>
      <c r="BR168" t="s">
        <v>251</v>
      </c>
      <c r="BS168" s="2">
        <v>44307</v>
      </c>
      <c r="BT168" s="3">
        <v>0.34861111111111115</v>
      </c>
      <c r="BU168" t="s">
        <v>449</v>
      </c>
      <c r="BV168" t="s">
        <v>90</v>
      </c>
      <c r="BY168">
        <v>7805.53</v>
      </c>
      <c r="CA168" t="s">
        <v>208</v>
      </c>
      <c r="CC168" t="s">
        <v>99</v>
      </c>
      <c r="CD168">
        <v>1034</v>
      </c>
      <c r="CE168" t="s">
        <v>80</v>
      </c>
      <c r="CF168" s="2">
        <v>44308</v>
      </c>
      <c r="CI168">
        <v>1</v>
      </c>
      <c r="CJ168">
        <v>1</v>
      </c>
      <c r="CK168" t="s">
        <v>168</v>
      </c>
      <c r="CL168" t="s">
        <v>79</v>
      </c>
    </row>
    <row r="169" spans="1:90" x14ac:dyDescent="0.25">
      <c r="A169" t="s">
        <v>211</v>
      </c>
      <c r="B169" t="s">
        <v>212</v>
      </c>
      <c r="C169" t="s">
        <v>72</v>
      </c>
      <c r="E169" t="str">
        <f>"009935501131"</f>
        <v>009935501131</v>
      </c>
      <c r="F169" s="2">
        <v>44306</v>
      </c>
      <c r="G169">
        <v>202110</v>
      </c>
      <c r="H169" t="s">
        <v>182</v>
      </c>
      <c r="I169" t="s">
        <v>183</v>
      </c>
      <c r="J169" t="s">
        <v>213</v>
      </c>
      <c r="K169" t="s">
        <v>73</v>
      </c>
      <c r="L169" t="s">
        <v>88</v>
      </c>
      <c r="M169" t="s">
        <v>89</v>
      </c>
      <c r="N169" t="s">
        <v>450</v>
      </c>
      <c r="O169" t="s">
        <v>100</v>
      </c>
      <c r="P169" t="str">
        <f t="shared" si="6"/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20.14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1.7</v>
      </c>
      <c r="BK169">
        <v>2</v>
      </c>
      <c r="BL169">
        <v>110.85</v>
      </c>
      <c r="BM169">
        <v>16.63</v>
      </c>
      <c r="BN169">
        <v>127.48</v>
      </c>
      <c r="BO169">
        <v>127.48</v>
      </c>
      <c r="BQ169" t="s">
        <v>451</v>
      </c>
      <c r="BR169" t="s">
        <v>235</v>
      </c>
      <c r="BS169" s="2">
        <v>44309</v>
      </c>
      <c r="BT169" s="3">
        <v>0.3888888888888889</v>
      </c>
      <c r="BU169" t="s">
        <v>349</v>
      </c>
      <c r="BV169" t="s">
        <v>79</v>
      </c>
      <c r="BW169" t="s">
        <v>105</v>
      </c>
      <c r="BX169" t="s">
        <v>167</v>
      </c>
      <c r="BY169">
        <v>8604.23</v>
      </c>
      <c r="CA169" t="s">
        <v>113</v>
      </c>
      <c r="CC169" t="s">
        <v>89</v>
      </c>
      <c r="CD169">
        <v>6045</v>
      </c>
      <c r="CE169" t="s">
        <v>80</v>
      </c>
      <c r="CF169" s="2">
        <v>44309</v>
      </c>
      <c r="CI169">
        <v>2</v>
      </c>
      <c r="CJ169">
        <v>3</v>
      </c>
      <c r="CK169" t="s">
        <v>134</v>
      </c>
      <c r="CL169" t="s">
        <v>79</v>
      </c>
    </row>
    <row r="170" spans="1:90" x14ac:dyDescent="0.25">
      <c r="A170" t="s">
        <v>211</v>
      </c>
      <c r="B170" t="s">
        <v>212</v>
      </c>
      <c r="C170" t="s">
        <v>72</v>
      </c>
      <c r="E170" t="str">
        <f>"009940957402"</f>
        <v>009940957402</v>
      </c>
      <c r="F170" s="2">
        <v>44306</v>
      </c>
      <c r="G170">
        <v>202110</v>
      </c>
      <c r="H170" t="s">
        <v>182</v>
      </c>
      <c r="I170" t="s">
        <v>183</v>
      </c>
      <c r="J170" t="s">
        <v>213</v>
      </c>
      <c r="K170" t="s">
        <v>73</v>
      </c>
      <c r="L170" t="s">
        <v>133</v>
      </c>
      <c r="M170" t="s">
        <v>94</v>
      </c>
      <c r="N170" t="s">
        <v>452</v>
      </c>
      <c r="O170" t="s">
        <v>100</v>
      </c>
      <c r="P170" t="str">
        <f t="shared" si="6"/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20.14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1.5</v>
      </c>
      <c r="BK170">
        <v>2</v>
      </c>
      <c r="BL170">
        <v>110.85</v>
      </c>
      <c r="BM170">
        <v>16.63</v>
      </c>
      <c r="BN170">
        <v>127.48</v>
      </c>
      <c r="BO170">
        <v>127.48</v>
      </c>
      <c r="BQ170" t="s">
        <v>263</v>
      </c>
      <c r="BR170" t="s">
        <v>251</v>
      </c>
      <c r="BS170" s="2">
        <v>44309</v>
      </c>
      <c r="BT170" s="3">
        <v>0.40138888888888885</v>
      </c>
      <c r="BU170" t="s">
        <v>138</v>
      </c>
      <c r="BV170" t="s">
        <v>79</v>
      </c>
      <c r="BW170" t="s">
        <v>105</v>
      </c>
      <c r="BX170" t="s">
        <v>127</v>
      </c>
      <c r="BY170">
        <v>7694.51</v>
      </c>
      <c r="CA170" t="s">
        <v>226</v>
      </c>
      <c r="CC170" t="s">
        <v>94</v>
      </c>
      <c r="CD170">
        <v>8000</v>
      </c>
      <c r="CE170" t="s">
        <v>80</v>
      </c>
      <c r="CF170" s="2">
        <v>44312</v>
      </c>
      <c r="CI170">
        <v>2</v>
      </c>
      <c r="CJ170">
        <v>3</v>
      </c>
      <c r="CK170" t="s">
        <v>134</v>
      </c>
      <c r="CL170" t="s">
        <v>79</v>
      </c>
    </row>
    <row r="171" spans="1:90" x14ac:dyDescent="0.25">
      <c r="A171" t="s">
        <v>211</v>
      </c>
      <c r="B171" t="s">
        <v>212</v>
      </c>
      <c r="C171" t="s">
        <v>72</v>
      </c>
      <c r="E171" t="str">
        <f>"009940956536"</f>
        <v>009940956536</v>
      </c>
      <c r="F171" s="2">
        <v>44306</v>
      </c>
      <c r="G171">
        <v>202110</v>
      </c>
      <c r="H171" t="s">
        <v>182</v>
      </c>
      <c r="I171" t="s">
        <v>183</v>
      </c>
      <c r="J171" t="s">
        <v>213</v>
      </c>
      <c r="K171" t="s">
        <v>73</v>
      </c>
      <c r="L171" t="s">
        <v>86</v>
      </c>
      <c r="M171" t="s">
        <v>87</v>
      </c>
      <c r="N171" t="s">
        <v>213</v>
      </c>
      <c r="O171" t="s">
        <v>100</v>
      </c>
      <c r="P171" t="str">
        <f t="shared" si="6"/>
        <v xml:space="preserve">STORES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13.84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2.4</v>
      </c>
      <c r="BK171">
        <v>3</v>
      </c>
      <c r="BL171">
        <v>77.72</v>
      </c>
      <c r="BM171">
        <v>11.66</v>
      </c>
      <c r="BN171">
        <v>89.38</v>
      </c>
      <c r="BO171">
        <v>89.38</v>
      </c>
      <c r="BQ171" t="s">
        <v>328</v>
      </c>
      <c r="BR171" t="s">
        <v>447</v>
      </c>
      <c r="BS171" s="2">
        <v>44307</v>
      </c>
      <c r="BT171" s="3">
        <v>0.53472222222222221</v>
      </c>
      <c r="BU171" t="s">
        <v>453</v>
      </c>
      <c r="BV171" t="s">
        <v>90</v>
      </c>
      <c r="BY171">
        <v>11776.18</v>
      </c>
      <c r="CA171" t="s">
        <v>228</v>
      </c>
      <c r="CC171" t="s">
        <v>87</v>
      </c>
      <c r="CD171">
        <v>4091</v>
      </c>
      <c r="CE171" t="s">
        <v>80</v>
      </c>
      <c r="CF171" s="2">
        <v>44307</v>
      </c>
      <c r="CI171">
        <v>1</v>
      </c>
      <c r="CJ171">
        <v>1</v>
      </c>
      <c r="CK171" t="s">
        <v>102</v>
      </c>
      <c r="CL171" t="s">
        <v>79</v>
      </c>
    </row>
    <row r="172" spans="1:90" x14ac:dyDescent="0.25">
      <c r="A172" t="s">
        <v>211</v>
      </c>
      <c r="B172" t="s">
        <v>212</v>
      </c>
      <c r="C172" t="s">
        <v>72</v>
      </c>
      <c r="E172" t="str">
        <f>"009940956600"</f>
        <v>009940956600</v>
      </c>
      <c r="F172" s="2">
        <v>44306</v>
      </c>
      <c r="G172">
        <v>202110</v>
      </c>
      <c r="H172" t="s">
        <v>182</v>
      </c>
      <c r="I172" t="s">
        <v>183</v>
      </c>
      <c r="J172" t="s">
        <v>213</v>
      </c>
      <c r="K172" t="s">
        <v>73</v>
      </c>
      <c r="L172" t="s">
        <v>108</v>
      </c>
      <c r="M172" t="s">
        <v>109</v>
      </c>
      <c r="N172" t="s">
        <v>354</v>
      </c>
      <c r="O172" t="s">
        <v>100</v>
      </c>
      <c r="P172" t="str">
        <f t="shared" si="6"/>
        <v xml:space="preserve">STORES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27.22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2</v>
      </c>
      <c r="BI172">
        <v>12.4</v>
      </c>
      <c r="BJ172">
        <v>27.6</v>
      </c>
      <c r="BK172">
        <v>28</v>
      </c>
      <c r="BL172">
        <v>148.03</v>
      </c>
      <c r="BM172">
        <v>22.2</v>
      </c>
      <c r="BN172">
        <v>170.23</v>
      </c>
      <c r="BO172">
        <v>170.23</v>
      </c>
      <c r="BQ172" t="s">
        <v>355</v>
      </c>
      <c r="BR172" t="s">
        <v>447</v>
      </c>
      <c r="BS172" s="2">
        <v>44307</v>
      </c>
      <c r="BT172" s="3">
        <v>0.44236111111111115</v>
      </c>
      <c r="BU172" t="s">
        <v>244</v>
      </c>
      <c r="BV172" t="s">
        <v>90</v>
      </c>
      <c r="BY172">
        <v>138160.07</v>
      </c>
      <c r="CA172" t="s">
        <v>158</v>
      </c>
      <c r="CC172" t="s">
        <v>109</v>
      </c>
      <c r="CD172">
        <v>299</v>
      </c>
      <c r="CE172" t="s">
        <v>80</v>
      </c>
      <c r="CF172" s="2">
        <v>44307</v>
      </c>
      <c r="CI172">
        <v>1</v>
      </c>
      <c r="CJ172">
        <v>1</v>
      </c>
      <c r="CK172" t="s">
        <v>168</v>
      </c>
      <c r="CL172" t="s">
        <v>79</v>
      </c>
    </row>
    <row r="173" spans="1:90" x14ac:dyDescent="0.25">
      <c r="A173" t="s">
        <v>211</v>
      </c>
      <c r="B173" t="s">
        <v>212</v>
      </c>
      <c r="C173" t="s">
        <v>72</v>
      </c>
      <c r="E173" t="str">
        <f>"009935501132"</f>
        <v>009935501132</v>
      </c>
      <c r="F173" s="2">
        <v>44306</v>
      </c>
      <c r="G173">
        <v>202110</v>
      </c>
      <c r="H173" t="s">
        <v>182</v>
      </c>
      <c r="I173" t="s">
        <v>183</v>
      </c>
      <c r="J173" t="s">
        <v>213</v>
      </c>
      <c r="K173" t="s">
        <v>73</v>
      </c>
      <c r="L173" t="s">
        <v>88</v>
      </c>
      <c r="M173" t="s">
        <v>89</v>
      </c>
      <c r="N173" t="s">
        <v>450</v>
      </c>
      <c r="O173" t="s">
        <v>100</v>
      </c>
      <c r="P173" t="str">
        <f t="shared" si="6"/>
        <v xml:space="preserve">STORES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24.45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19.600000000000001</v>
      </c>
      <c r="BJ173">
        <v>18</v>
      </c>
      <c r="BK173">
        <v>20</v>
      </c>
      <c r="BL173">
        <v>133.51</v>
      </c>
      <c r="BM173">
        <v>20.03</v>
      </c>
      <c r="BN173">
        <v>153.54</v>
      </c>
      <c r="BO173">
        <v>153.54</v>
      </c>
      <c r="BQ173" t="s">
        <v>451</v>
      </c>
      <c r="BR173" t="s">
        <v>235</v>
      </c>
      <c r="BS173" s="2">
        <v>44308</v>
      </c>
      <c r="BT173" s="3">
        <v>0.58680555555555558</v>
      </c>
      <c r="BU173" t="s">
        <v>454</v>
      </c>
      <c r="BV173" t="s">
        <v>90</v>
      </c>
      <c r="BY173">
        <v>90056.960000000006</v>
      </c>
      <c r="CA173" t="s">
        <v>113</v>
      </c>
      <c r="CC173" t="s">
        <v>89</v>
      </c>
      <c r="CD173">
        <v>6045</v>
      </c>
      <c r="CE173" t="s">
        <v>80</v>
      </c>
      <c r="CF173" s="2">
        <v>44308</v>
      </c>
      <c r="CI173">
        <v>2</v>
      </c>
      <c r="CJ173">
        <v>2</v>
      </c>
      <c r="CK173" t="s">
        <v>134</v>
      </c>
      <c r="CL173" t="s">
        <v>79</v>
      </c>
    </row>
    <row r="174" spans="1:90" x14ac:dyDescent="0.25">
      <c r="A174" t="s">
        <v>211</v>
      </c>
      <c r="B174" t="s">
        <v>212</v>
      </c>
      <c r="C174" t="s">
        <v>72</v>
      </c>
      <c r="E174" t="str">
        <f>"009940563954"</f>
        <v>009940563954</v>
      </c>
      <c r="F174" s="2">
        <v>44306</v>
      </c>
      <c r="G174">
        <v>202110</v>
      </c>
      <c r="H174" t="s">
        <v>182</v>
      </c>
      <c r="I174" t="s">
        <v>183</v>
      </c>
      <c r="J174" t="s">
        <v>213</v>
      </c>
      <c r="K174" t="s">
        <v>73</v>
      </c>
      <c r="L174" t="s">
        <v>171</v>
      </c>
      <c r="M174" t="s">
        <v>172</v>
      </c>
      <c r="N174" t="s">
        <v>213</v>
      </c>
      <c r="O174" t="s">
        <v>100</v>
      </c>
      <c r="P174" t="str">
        <f t="shared" si="6"/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58.13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3</v>
      </c>
      <c r="BI174">
        <v>58.1</v>
      </c>
      <c r="BJ174">
        <v>90.4</v>
      </c>
      <c r="BK174">
        <v>91</v>
      </c>
      <c r="BL174">
        <v>310.49</v>
      </c>
      <c r="BM174">
        <v>46.57</v>
      </c>
      <c r="BN174">
        <v>357.06</v>
      </c>
      <c r="BO174">
        <v>357.06</v>
      </c>
      <c r="BQ174" t="s">
        <v>224</v>
      </c>
      <c r="BR174" t="s">
        <v>447</v>
      </c>
      <c r="BS174" s="2">
        <v>44307</v>
      </c>
      <c r="BT174" s="3">
        <v>0.49513888888888885</v>
      </c>
      <c r="BU174" t="s">
        <v>455</v>
      </c>
      <c r="BV174" t="s">
        <v>90</v>
      </c>
      <c r="BY174">
        <v>452162.17</v>
      </c>
      <c r="CA174" t="s">
        <v>225</v>
      </c>
      <c r="CC174" t="s">
        <v>172</v>
      </c>
      <c r="CD174">
        <v>699</v>
      </c>
      <c r="CE174" t="s">
        <v>80</v>
      </c>
      <c r="CF174" s="2">
        <v>44307</v>
      </c>
      <c r="CI174">
        <v>1</v>
      </c>
      <c r="CJ174">
        <v>1</v>
      </c>
      <c r="CK174" t="s">
        <v>187</v>
      </c>
      <c r="CL174" t="s">
        <v>79</v>
      </c>
    </row>
    <row r="175" spans="1:90" x14ac:dyDescent="0.25">
      <c r="A175" t="s">
        <v>211</v>
      </c>
      <c r="B175" t="s">
        <v>212</v>
      </c>
      <c r="C175" t="s">
        <v>72</v>
      </c>
      <c r="E175" t="str">
        <f>"009940177492"</f>
        <v>009940177492</v>
      </c>
      <c r="F175" s="2">
        <v>44305</v>
      </c>
      <c r="G175">
        <v>202110</v>
      </c>
      <c r="H175" t="s">
        <v>108</v>
      </c>
      <c r="I175" t="s">
        <v>109</v>
      </c>
      <c r="J175" t="s">
        <v>213</v>
      </c>
      <c r="K175" t="s">
        <v>73</v>
      </c>
      <c r="L175" t="s">
        <v>182</v>
      </c>
      <c r="M175" t="s">
        <v>183</v>
      </c>
      <c r="N175" t="s">
        <v>213</v>
      </c>
      <c r="O175" t="s">
        <v>100</v>
      </c>
      <c r="P175" t="str">
        <f>"                              "</f>
        <v xml:space="preserve">  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27.39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35</v>
      </c>
      <c r="BJ175">
        <v>28</v>
      </c>
      <c r="BK175">
        <v>35</v>
      </c>
      <c r="BL175">
        <v>148.94999999999999</v>
      </c>
      <c r="BM175">
        <v>22.34</v>
      </c>
      <c r="BN175">
        <v>171.29</v>
      </c>
      <c r="BO175">
        <v>171.29</v>
      </c>
      <c r="BQ175" t="s">
        <v>169</v>
      </c>
      <c r="BR175" t="s">
        <v>242</v>
      </c>
      <c r="BS175" s="2">
        <v>44306</v>
      </c>
      <c r="BT175" s="3">
        <v>0.57777777777777783</v>
      </c>
      <c r="BU175" t="s">
        <v>115</v>
      </c>
      <c r="BV175" t="s">
        <v>90</v>
      </c>
      <c r="BY175">
        <v>139995</v>
      </c>
      <c r="CA175" t="s">
        <v>153</v>
      </c>
      <c r="CC175" t="s">
        <v>183</v>
      </c>
      <c r="CD175">
        <v>2146</v>
      </c>
      <c r="CE175" t="s">
        <v>80</v>
      </c>
      <c r="CF175" s="2">
        <v>44306</v>
      </c>
      <c r="CI175">
        <v>1</v>
      </c>
      <c r="CJ175">
        <v>1</v>
      </c>
      <c r="CK175" t="s">
        <v>101</v>
      </c>
      <c r="CL175" t="s">
        <v>79</v>
      </c>
    </row>
    <row r="176" spans="1:90" x14ac:dyDescent="0.25">
      <c r="A176" t="s">
        <v>211</v>
      </c>
      <c r="B176" t="s">
        <v>212</v>
      </c>
      <c r="C176" t="s">
        <v>72</v>
      </c>
      <c r="E176" t="str">
        <f>"009940653778"</f>
        <v>009940653778</v>
      </c>
      <c r="F176" s="2">
        <v>44307</v>
      </c>
      <c r="G176">
        <v>202110</v>
      </c>
      <c r="H176" t="s">
        <v>93</v>
      </c>
      <c r="I176" t="s">
        <v>94</v>
      </c>
      <c r="J176" t="s">
        <v>213</v>
      </c>
      <c r="K176" t="s">
        <v>73</v>
      </c>
      <c r="L176" t="s">
        <v>119</v>
      </c>
      <c r="M176" t="s">
        <v>120</v>
      </c>
      <c r="N176" t="s">
        <v>213</v>
      </c>
      <c r="O176" t="s">
        <v>76</v>
      </c>
      <c r="P176" t="str">
        <f>"                              "</f>
        <v xml:space="preserve">   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51.63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4.8</v>
      </c>
      <c r="BJ176">
        <v>10.4</v>
      </c>
      <c r="BK176">
        <v>10.5</v>
      </c>
      <c r="BL176">
        <v>271.32</v>
      </c>
      <c r="BM176">
        <v>40.700000000000003</v>
      </c>
      <c r="BN176">
        <v>312.02</v>
      </c>
      <c r="BO176">
        <v>312.02</v>
      </c>
      <c r="BQ176" t="s">
        <v>456</v>
      </c>
      <c r="BR176" t="s">
        <v>263</v>
      </c>
      <c r="BS176" s="2">
        <v>44308</v>
      </c>
      <c r="BT176" s="3">
        <v>0.38194444444444442</v>
      </c>
      <c r="BU176" t="s">
        <v>74</v>
      </c>
      <c r="BV176" t="s">
        <v>90</v>
      </c>
      <c r="BY176">
        <v>51826.97</v>
      </c>
      <c r="BZ176" t="s">
        <v>81</v>
      </c>
      <c r="CC176" t="s">
        <v>120</v>
      </c>
      <c r="CD176">
        <v>6530</v>
      </c>
      <c r="CE176" t="s">
        <v>80</v>
      </c>
      <c r="CF176" s="2">
        <v>44312</v>
      </c>
      <c r="CI176">
        <v>1</v>
      </c>
      <c r="CJ176">
        <v>1</v>
      </c>
      <c r="CK176">
        <v>21</v>
      </c>
      <c r="CL176" t="s">
        <v>79</v>
      </c>
    </row>
    <row r="177" spans="1:90" x14ac:dyDescent="0.25">
      <c r="A177" t="s">
        <v>211</v>
      </c>
      <c r="B177" t="s">
        <v>212</v>
      </c>
      <c r="C177" t="s">
        <v>72</v>
      </c>
      <c r="E177" t="str">
        <f>"009940563958"</f>
        <v>009940563958</v>
      </c>
      <c r="F177" s="2">
        <v>44307</v>
      </c>
      <c r="G177">
        <v>202110</v>
      </c>
      <c r="H177" t="s">
        <v>182</v>
      </c>
      <c r="I177" t="s">
        <v>183</v>
      </c>
      <c r="J177" t="s">
        <v>213</v>
      </c>
      <c r="K177" t="s">
        <v>73</v>
      </c>
      <c r="L177" t="s">
        <v>171</v>
      </c>
      <c r="M177" t="s">
        <v>172</v>
      </c>
      <c r="N177" t="s">
        <v>249</v>
      </c>
      <c r="O177" t="s">
        <v>100</v>
      </c>
      <c r="P177" t="str">
        <f>"SMALL SPARE                   "</f>
        <v xml:space="preserve">SMALL SPARE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15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4.9000000000000004</v>
      </c>
      <c r="BJ177">
        <v>16.899999999999999</v>
      </c>
      <c r="BK177">
        <v>17</v>
      </c>
      <c r="BL177">
        <v>83.84</v>
      </c>
      <c r="BM177">
        <v>12.58</v>
      </c>
      <c r="BN177">
        <v>96.42</v>
      </c>
      <c r="BO177">
        <v>96.42</v>
      </c>
      <c r="BQ177" t="s">
        <v>224</v>
      </c>
      <c r="BR177" t="s">
        <v>215</v>
      </c>
      <c r="BS177" s="2">
        <v>44308</v>
      </c>
      <c r="BT177" s="3">
        <v>0.48541666666666666</v>
      </c>
      <c r="BU177" t="s">
        <v>170</v>
      </c>
      <c r="BV177" t="s">
        <v>90</v>
      </c>
      <c r="BY177">
        <v>84371.83</v>
      </c>
      <c r="CA177" t="s">
        <v>225</v>
      </c>
      <c r="CC177" t="s">
        <v>172</v>
      </c>
      <c r="CD177">
        <v>700</v>
      </c>
      <c r="CE177" t="s">
        <v>80</v>
      </c>
      <c r="CF177" s="2">
        <v>44308</v>
      </c>
      <c r="CI177">
        <v>1</v>
      </c>
      <c r="CJ177">
        <v>1</v>
      </c>
      <c r="CK177" t="s">
        <v>187</v>
      </c>
      <c r="CL177" t="s">
        <v>79</v>
      </c>
    </row>
    <row r="178" spans="1:90" x14ac:dyDescent="0.25">
      <c r="A178" t="s">
        <v>211</v>
      </c>
      <c r="B178" t="s">
        <v>212</v>
      </c>
      <c r="C178" t="s">
        <v>72</v>
      </c>
      <c r="E178" t="str">
        <f>"009940746387"</f>
        <v>009940746387</v>
      </c>
      <c r="F178" s="2">
        <v>44307</v>
      </c>
      <c r="G178">
        <v>202110</v>
      </c>
      <c r="H178" t="s">
        <v>93</v>
      </c>
      <c r="I178" t="s">
        <v>94</v>
      </c>
      <c r="J178" t="s">
        <v>213</v>
      </c>
      <c r="K178" t="s">
        <v>73</v>
      </c>
      <c r="L178" t="s">
        <v>182</v>
      </c>
      <c r="M178" t="s">
        <v>183</v>
      </c>
      <c r="N178" t="s">
        <v>213</v>
      </c>
      <c r="O178" t="s">
        <v>100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20.14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9.4</v>
      </c>
      <c r="BJ178">
        <v>2.8</v>
      </c>
      <c r="BK178">
        <v>10</v>
      </c>
      <c r="BL178">
        <v>110.85</v>
      </c>
      <c r="BM178">
        <v>16.63</v>
      </c>
      <c r="BN178">
        <v>127.48</v>
      </c>
      <c r="BO178">
        <v>127.48</v>
      </c>
      <c r="BQ178" t="s">
        <v>286</v>
      </c>
      <c r="BR178" t="s">
        <v>263</v>
      </c>
      <c r="BS178" s="2">
        <v>44309</v>
      </c>
      <c r="BT178" s="3">
        <v>0.40833333333333338</v>
      </c>
      <c r="BU178" t="s">
        <v>115</v>
      </c>
      <c r="BV178" t="s">
        <v>90</v>
      </c>
      <c r="BY178">
        <v>14152.32</v>
      </c>
      <c r="CA178" t="s">
        <v>237</v>
      </c>
      <c r="CC178" t="s">
        <v>183</v>
      </c>
      <c r="CD178">
        <v>2146</v>
      </c>
      <c r="CE178" t="s">
        <v>80</v>
      </c>
      <c r="CF178" s="2">
        <v>44309</v>
      </c>
      <c r="CI178">
        <v>2</v>
      </c>
      <c r="CJ178">
        <v>2</v>
      </c>
      <c r="CK178" t="s">
        <v>134</v>
      </c>
      <c r="CL178" t="s">
        <v>79</v>
      </c>
    </row>
    <row r="179" spans="1:90" x14ac:dyDescent="0.25">
      <c r="A179" t="s">
        <v>211</v>
      </c>
      <c r="B179" t="s">
        <v>212</v>
      </c>
      <c r="C179" t="s">
        <v>72</v>
      </c>
      <c r="E179" t="str">
        <f>"009940956599"</f>
        <v>009940956599</v>
      </c>
      <c r="F179" s="2">
        <v>44307</v>
      </c>
      <c r="G179">
        <v>202110</v>
      </c>
      <c r="H179" t="s">
        <v>182</v>
      </c>
      <c r="I179" t="s">
        <v>183</v>
      </c>
      <c r="J179" t="s">
        <v>213</v>
      </c>
      <c r="K179" t="s">
        <v>73</v>
      </c>
      <c r="L179" t="s">
        <v>108</v>
      </c>
      <c r="M179" t="s">
        <v>109</v>
      </c>
      <c r="N179" t="s">
        <v>249</v>
      </c>
      <c r="O179" t="s">
        <v>100</v>
      </c>
      <c r="P179" t="str">
        <f>"STORES                        "</f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48.8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3</v>
      </c>
      <c r="BI179">
        <v>59.6</v>
      </c>
      <c r="BJ179">
        <v>39.5</v>
      </c>
      <c r="BK179">
        <v>60</v>
      </c>
      <c r="BL179">
        <v>261.45</v>
      </c>
      <c r="BM179">
        <v>39.22</v>
      </c>
      <c r="BN179">
        <v>300.67</v>
      </c>
      <c r="BO179">
        <v>300.67</v>
      </c>
      <c r="BQ179" t="s">
        <v>355</v>
      </c>
      <c r="BR179" t="s">
        <v>215</v>
      </c>
      <c r="BS179" s="2">
        <v>44308</v>
      </c>
      <c r="BT179" s="3">
        <v>0.36319444444444443</v>
      </c>
      <c r="BU179" t="s">
        <v>244</v>
      </c>
      <c r="BV179" t="s">
        <v>90</v>
      </c>
      <c r="BY179">
        <v>197648.01</v>
      </c>
      <c r="CA179" t="s">
        <v>158</v>
      </c>
      <c r="CC179" t="s">
        <v>109</v>
      </c>
      <c r="CD179">
        <v>299</v>
      </c>
      <c r="CE179" t="s">
        <v>80</v>
      </c>
      <c r="CF179" s="2">
        <v>44308</v>
      </c>
      <c r="CI179">
        <v>1</v>
      </c>
      <c r="CJ179">
        <v>1</v>
      </c>
      <c r="CK179" t="s">
        <v>168</v>
      </c>
      <c r="CL179" t="s">
        <v>79</v>
      </c>
    </row>
    <row r="180" spans="1:90" x14ac:dyDescent="0.25">
      <c r="A180" t="s">
        <v>211</v>
      </c>
      <c r="B180" t="s">
        <v>212</v>
      </c>
      <c r="C180" t="s">
        <v>72</v>
      </c>
      <c r="E180" t="str">
        <f>"009940995844"</f>
        <v>009940995844</v>
      </c>
      <c r="F180" s="2">
        <v>44307</v>
      </c>
      <c r="G180">
        <v>202110</v>
      </c>
      <c r="H180" t="s">
        <v>182</v>
      </c>
      <c r="I180" t="s">
        <v>183</v>
      </c>
      <c r="J180" t="s">
        <v>213</v>
      </c>
      <c r="K180" t="s">
        <v>73</v>
      </c>
      <c r="L180" t="s">
        <v>119</v>
      </c>
      <c r="M180" t="s">
        <v>120</v>
      </c>
      <c r="N180" t="s">
        <v>249</v>
      </c>
      <c r="O180" t="s">
        <v>100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23.98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0.7</v>
      </c>
      <c r="BJ180">
        <v>2.2999999999999998</v>
      </c>
      <c r="BK180">
        <v>3</v>
      </c>
      <c r="BL180">
        <v>131.04</v>
      </c>
      <c r="BM180">
        <v>19.66</v>
      </c>
      <c r="BN180">
        <v>150.69999999999999</v>
      </c>
      <c r="BO180">
        <v>150.69999999999999</v>
      </c>
      <c r="BQ180" t="s">
        <v>381</v>
      </c>
      <c r="BR180" t="s">
        <v>457</v>
      </c>
      <c r="BS180" s="2">
        <v>44309</v>
      </c>
      <c r="BT180" s="3">
        <v>0.375</v>
      </c>
      <c r="BU180" t="s">
        <v>381</v>
      </c>
      <c r="BV180" t="s">
        <v>90</v>
      </c>
      <c r="BY180">
        <v>11736.56</v>
      </c>
      <c r="CC180" t="s">
        <v>120</v>
      </c>
      <c r="CD180">
        <v>6529</v>
      </c>
      <c r="CE180" t="s">
        <v>80</v>
      </c>
      <c r="CF180" s="2">
        <v>44315</v>
      </c>
      <c r="CI180">
        <v>0</v>
      </c>
      <c r="CJ180">
        <v>0</v>
      </c>
      <c r="CK180" t="s">
        <v>135</v>
      </c>
      <c r="CL180" t="s">
        <v>79</v>
      </c>
    </row>
    <row r="181" spans="1:90" x14ac:dyDescent="0.25">
      <c r="A181" t="s">
        <v>211</v>
      </c>
      <c r="B181" t="s">
        <v>212</v>
      </c>
      <c r="C181" t="s">
        <v>72</v>
      </c>
      <c r="E181" t="str">
        <f>"009940956794"</f>
        <v>009940956794</v>
      </c>
      <c r="F181" s="2">
        <v>44307</v>
      </c>
      <c r="G181">
        <v>202110</v>
      </c>
      <c r="H181" t="s">
        <v>182</v>
      </c>
      <c r="I181" t="s">
        <v>183</v>
      </c>
      <c r="J181" t="s">
        <v>213</v>
      </c>
      <c r="K181" t="s">
        <v>73</v>
      </c>
      <c r="L181" t="s">
        <v>98</v>
      </c>
      <c r="M181" t="s">
        <v>99</v>
      </c>
      <c r="N181" t="s">
        <v>249</v>
      </c>
      <c r="O181" t="s">
        <v>100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50.15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62</v>
      </c>
      <c r="BJ181">
        <v>46.1</v>
      </c>
      <c r="BK181">
        <v>62</v>
      </c>
      <c r="BL181">
        <v>268.54000000000002</v>
      </c>
      <c r="BM181">
        <v>40.28</v>
      </c>
      <c r="BN181">
        <v>308.82</v>
      </c>
      <c r="BO181">
        <v>308.82</v>
      </c>
      <c r="BQ181" t="s">
        <v>372</v>
      </c>
      <c r="BR181" t="s">
        <v>215</v>
      </c>
      <c r="BS181" s="2">
        <v>44308</v>
      </c>
      <c r="BT181" s="3">
        <v>0.37013888888888885</v>
      </c>
      <c r="BU181" t="s">
        <v>458</v>
      </c>
      <c r="BV181" t="s">
        <v>90</v>
      </c>
      <c r="BY181">
        <v>230655</v>
      </c>
      <c r="CA181" t="s">
        <v>208</v>
      </c>
      <c r="CC181" t="s">
        <v>99</v>
      </c>
      <c r="CD181">
        <v>1034</v>
      </c>
      <c r="CE181" t="s">
        <v>80</v>
      </c>
      <c r="CF181" s="2">
        <v>44308</v>
      </c>
      <c r="CI181">
        <v>1</v>
      </c>
      <c r="CJ181">
        <v>1</v>
      </c>
      <c r="CK181" t="s">
        <v>168</v>
      </c>
      <c r="CL181" t="s">
        <v>79</v>
      </c>
    </row>
    <row r="182" spans="1:90" x14ac:dyDescent="0.25">
      <c r="A182" t="s">
        <v>211</v>
      </c>
      <c r="B182" t="s">
        <v>212</v>
      </c>
      <c r="C182" t="s">
        <v>72</v>
      </c>
      <c r="E182" t="str">
        <f>"009940956537"</f>
        <v>009940956537</v>
      </c>
      <c r="F182" s="2">
        <v>44307</v>
      </c>
      <c r="G182">
        <v>202110</v>
      </c>
      <c r="H182" t="s">
        <v>182</v>
      </c>
      <c r="I182" t="s">
        <v>183</v>
      </c>
      <c r="J182" t="s">
        <v>213</v>
      </c>
      <c r="K182" t="s">
        <v>73</v>
      </c>
      <c r="L182" t="s">
        <v>86</v>
      </c>
      <c r="M182" t="s">
        <v>87</v>
      </c>
      <c r="N182" t="s">
        <v>249</v>
      </c>
      <c r="O182" t="s">
        <v>100</v>
      </c>
      <c r="P182" t="str">
        <f>"LOCKS                         "</f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100.09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5</v>
      </c>
      <c r="BI182">
        <v>141</v>
      </c>
      <c r="BJ182">
        <v>162.30000000000001</v>
      </c>
      <c r="BK182">
        <v>163</v>
      </c>
      <c r="BL182">
        <v>531.01</v>
      </c>
      <c r="BM182">
        <v>79.650000000000006</v>
      </c>
      <c r="BN182">
        <v>610.66</v>
      </c>
      <c r="BO182">
        <v>610.66</v>
      </c>
      <c r="BQ182" t="s">
        <v>328</v>
      </c>
      <c r="BR182" t="s">
        <v>215</v>
      </c>
      <c r="BS182" s="2">
        <v>44309</v>
      </c>
      <c r="BT182" s="3">
        <v>0.4375</v>
      </c>
      <c r="BU182" t="s">
        <v>459</v>
      </c>
      <c r="BV182" t="s">
        <v>79</v>
      </c>
      <c r="BW182" t="s">
        <v>105</v>
      </c>
      <c r="BX182" t="s">
        <v>106</v>
      </c>
      <c r="BY182">
        <v>811301.12</v>
      </c>
      <c r="CA182" t="s">
        <v>143</v>
      </c>
      <c r="CC182" t="s">
        <v>87</v>
      </c>
      <c r="CD182">
        <v>4091</v>
      </c>
      <c r="CE182" t="s">
        <v>80</v>
      </c>
      <c r="CF182" s="2">
        <v>44309</v>
      </c>
      <c r="CI182">
        <v>1</v>
      </c>
      <c r="CJ182">
        <v>2</v>
      </c>
      <c r="CK182" t="s">
        <v>102</v>
      </c>
      <c r="CL182" t="s">
        <v>79</v>
      </c>
    </row>
    <row r="183" spans="1:90" x14ac:dyDescent="0.25">
      <c r="A183" t="s">
        <v>211</v>
      </c>
      <c r="B183" t="s">
        <v>212</v>
      </c>
      <c r="C183" t="s">
        <v>72</v>
      </c>
      <c r="E183" t="str">
        <f>"009940957388"</f>
        <v>009940957388</v>
      </c>
      <c r="F183" s="2">
        <v>44307</v>
      </c>
      <c r="G183">
        <v>202110</v>
      </c>
      <c r="H183" t="s">
        <v>182</v>
      </c>
      <c r="I183" t="s">
        <v>183</v>
      </c>
      <c r="J183" t="s">
        <v>213</v>
      </c>
      <c r="K183" t="s">
        <v>73</v>
      </c>
      <c r="L183" t="s">
        <v>93</v>
      </c>
      <c r="M183" t="s">
        <v>94</v>
      </c>
      <c r="N183" t="s">
        <v>249</v>
      </c>
      <c r="O183" t="s">
        <v>76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9.84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51.71</v>
      </c>
      <c r="BM183">
        <v>7.76</v>
      </c>
      <c r="BN183">
        <v>59.47</v>
      </c>
      <c r="BO183">
        <v>59.47</v>
      </c>
      <c r="BQ183" t="s">
        <v>263</v>
      </c>
      <c r="BR183" t="s">
        <v>251</v>
      </c>
      <c r="BS183" s="2">
        <v>44308</v>
      </c>
      <c r="BT183" s="3">
        <v>0.36041666666666666</v>
      </c>
      <c r="BU183" t="s">
        <v>142</v>
      </c>
      <c r="BV183" t="s">
        <v>90</v>
      </c>
      <c r="BY183">
        <v>1200</v>
      </c>
      <c r="BZ183" t="s">
        <v>81</v>
      </c>
      <c r="CA183" t="s">
        <v>125</v>
      </c>
      <c r="CC183" t="s">
        <v>94</v>
      </c>
      <c r="CD183">
        <v>8000</v>
      </c>
      <c r="CE183" t="s">
        <v>80</v>
      </c>
      <c r="CF183" s="2">
        <v>44309</v>
      </c>
      <c r="CI183">
        <v>1</v>
      </c>
      <c r="CJ183">
        <v>1</v>
      </c>
      <c r="CK183">
        <v>21</v>
      </c>
      <c r="CL183" t="s">
        <v>79</v>
      </c>
    </row>
    <row r="184" spans="1:90" x14ac:dyDescent="0.25">
      <c r="A184" t="s">
        <v>211</v>
      </c>
      <c r="B184" t="s">
        <v>212</v>
      </c>
      <c r="C184" t="s">
        <v>72</v>
      </c>
      <c r="E184" t="str">
        <f>"009940540739"</f>
        <v>009940540739</v>
      </c>
      <c r="F184" s="2">
        <v>44308</v>
      </c>
      <c r="G184">
        <v>202110</v>
      </c>
      <c r="H184" t="s">
        <v>182</v>
      </c>
      <c r="I184" t="s">
        <v>183</v>
      </c>
      <c r="J184" t="s">
        <v>213</v>
      </c>
      <c r="K184" t="s">
        <v>73</v>
      </c>
      <c r="L184" t="s">
        <v>133</v>
      </c>
      <c r="M184" t="s">
        <v>94</v>
      </c>
      <c r="N184" t="s">
        <v>213</v>
      </c>
      <c r="O184" t="s">
        <v>100</v>
      </c>
      <c r="P184" t="str">
        <f t="shared" ref="P184:P189" si="7"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33.94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24</v>
      </c>
      <c r="BJ184">
        <v>31</v>
      </c>
      <c r="BK184">
        <v>31</v>
      </c>
      <c r="BL184">
        <v>183.37</v>
      </c>
      <c r="BM184">
        <v>27.51</v>
      </c>
      <c r="BN184">
        <v>210.88</v>
      </c>
      <c r="BO184">
        <v>210.88</v>
      </c>
      <c r="BQ184" t="s">
        <v>103</v>
      </c>
      <c r="BR184" t="s">
        <v>215</v>
      </c>
      <c r="BS184" s="2">
        <v>44312</v>
      </c>
      <c r="BT184" s="3">
        <v>0.38680555555555557</v>
      </c>
      <c r="BU184" t="s">
        <v>138</v>
      </c>
      <c r="BV184" t="s">
        <v>90</v>
      </c>
      <c r="BY184">
        <v>155232</v>
      </c>
      <c r="CA184" t="s">
        <v>226</v>
      </c>
      <c r="CC184" t="s">
        <v>94</v>
      </c>
      <c r="CD184">
        <v>7505</v>
      </c>
      <c r="CE184" t="s">
        <v>80</v>
      </c>
      <c r="CF184" s="2">
        <v>44314</v>
      </c>
      <c r="CI184">
        <v>2</v>
      </c>
      <c r="CJ184">
        <v>2</v>
      </c>
      <c r="CK184" t="s">
        <v>134</v>
      </c>
      <c r="CL184" t="s">
        <v>79</v>
      </c>
    </row>
    <row r="185" spans="1:90" x14ac:dyDescent="0.25">
      <c r="A185" t="s">
        <v>211</v>
      </c>
      <c r="B185" t="s">
        <v>212</v>
      </c>
      <c r="C185" t="s">
        <v>72</v>
      </c>
      <c r="E185" t="str">
        <f>"009940350116"</f>
        <v>009940350116</v>
      </c>
      <c r="F185" s="2">
        <v>44308</v>
      </c>
      <c r="G185">
        <v>202110</v>
      </c>
      <c r="H185" t="s">
        <v>182</v>
      </c>
      <c r="I185" t="s">
        <v>183</v>
      </c>
      <c r="J185" t="s">
        <v>213</v>
      </c>
      <c r="K185" t="s">
        <v>73</v>
      </c>
      <c r="L185" t="s">
        <v>281</v>
      </c>
      <c r="M185" t="s">
        <v>282</v>
      </c>
      <c r="N185" t="s">
        <v>460</v>
      </c>
      <c r="O185" t="s">
        <v>100</v>
      </c>
      <c r="P185" t="str">
        <f t="shared" si="7"/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152.72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6</v>
      </c>
      <c r="BI185">
        <v>105.7</v>
      </c>
      <c r="BJ185">
        <v>34.5</v>
      </c>
      <c r="BK185">
        <v>106</v>
      </c>
      <c r="BL185">
        <v>807.6</v>
      </c>
      <c r="BM185">
        <v>121.14</v>
      </c>
      <c r="BN185">
        <v>928.74</v>
      </c>
      <c r="BO185">
        <v>928.74</v>
      </c>
      <c r="BQ185" t="s">
        <v>103</v>
      </c>
      <c r="BR185" t="s">
        <v>461</v>
      </c>
      <c r="BS185" s="2">
        <v>44312</v>
      </c>
      <c r="BT185" s="3">
        <v>0.49305555555555558</v>
      </c>
      <c r="BU185" t="s">
        <v>170</v>
      </c>
      <c r="BV185" t="s">
        <v>90</v>
      </c>
      <c r="BY185">
        <v>172298.51</v>
      </c>
      <c r="CA185" t="s">
        <v>225</v>
      </c>
      <c r="CC185" t="s">
        <v>282</v>
      </c>
      <c r="CD185">
        <v>1150</v>
      </c>
      <c r="CE185" t="s">
        <v>80</v>
      </c>
      <c r="CF185" s="2">
        <v>44312</v>
      </c>
      <c r="CI185">
        <v>0</v>
      </c>
      <c r="CJ185">
        <v>0</v>
      </c>
      <c r="CK185" t="s">
        <v>217</v>
      </c>
      <c r="CL185" t="s">
        <v>79</v>
      </c>
    </row>
    <row r="186" spans="1:90" x14ac:dyDescent="0.25">
      <c r="A186" t="s">
        <v>211</v>
      </c>
      <c r="B186" t="s">
        <v>212</v>
      </c>
      <c r="C186" t="s">
        <v>72</v>
      </c>
      <c r="E186" t="str">
        <f>"009940957252"</f>
        <v>009940957252</v>
      </c>
      <c r="F186" s="2">
        <v>44308</v>
      </c>
      <c r="G186">
        <v>202110</v>
      </c>
      <c r="H186" t="s">
        <v>182</v>
      </c>
      <c r="I186" t="s">
        <v>183</v>
      </c>
      <c r="J186" t="s">
        <v>213</v>
      </c>
      <c r="K186" t="s">
        <v>73</v>
      </c>
      <c r="L186" t="s">
        <v>330</v>
      </c>
      <c r="M186" t="s">
        <v>331</v>
      </c>
      <c r="N186" t="s">
        <v>462</v>
      </c>
      <c r="O186" t="s">
        <v>100</v>
      </c>
      <c r="P186" t="str">
        <f t="shared" si="7"/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275.8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193</v>
      </c>
      <c r="BJ186">
        <v>118.6</v>
      </c>
      <c r="BK186">
        <v>193</v>
      </c>
      <c r="BL186">
        <v>1454.42</v>
      </c>
      <c r="BM186">
        <v>218.16</v>
      </c>
      <c r="BN186">
        <v>1672.58</v>
      </c>
      <c r="BO186">
        <v>1672.58</v>
      </c>
      <c r="BQ186" t="s">
        <v>103</v>
      </c>
      <c r="BR186" t="s">
        <v>235</v>
      </c>
      <c r="BS186" s="2">
        <v>44309</v>
      </c>
      <c r="BT186" s="3">
        <v>0.55625000000000002</v>
      </c>
      <c r="BU186" t="s">
        <v>123</v>
      </c>
      <c r="BV186" t="s">
        <v>90</v>
      </c>
      <c r="BY186">
        <v>592767</v>
      </c>
      <c r="CA186" t="s">
        <v>336</v>
      </c>
      <c r="CC186" t="s">
        <v>331</v>
      </c>
      <c r="CD186">
        <v>920</v>
      </c>
      <c r="CE186" t="s">
        <v>80</v>
      </c>
      <c r="CF186" s="2">
        <v>44309</v>
      </c>
      <c r="CI186">
        <v>1</v>
      </c>
      <c r="CJ186">
        <v>1</v>
      </c>
      <c r="CK186" t="s">
        <v>135</v>
      </c>
      <c r="CL186" t="s">
        <v>79</v>
      </c>
    </row>
    <row r="187" spans="1:90" x14ac:dyDescent="0.25">
      <c r="A187" t="s">
        <v>211</v>
      </c>
      <c r="B187" t="s">
        <v>212</v>
      </c>
      <c r="C187" t="s">
        <v>72</v>
      </c>
      <c r="E187" t="str">
        <f>"009940956587"</f>
        <v>009940956587</v>
      </c>
      <c r="F187" s="2">
        <v>44308</v>
      </c>
      <c r="G187">
        <v>202110</v>
      </c>
      <c r="H187" t="s">
        <v>182</v>
      </c>
      <c r="I187" t="s">
        <v>183</v>
      </c>
      <c r="J187" t="s">
        <v>213</v>
      </c>
      <c r="K187" t="s">
        <v>73</v>
      </c>
      <c r="L187" t="s">
        <v>108</v>
      </c>
      <c r="M187" t="s">
        <v>109</v>
      </c>
      <c r="N187" t="s">
        <v>218</v>
      </c>
      <c r="O187" t="s">
        <v>100</v>
      </c>
      <c r="P187" t="str">
        <f t="shared" si="7"/>
        <v xml:space="preserve">STORES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42.05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2</v>
      </c>
      <c r="BI187">
        <v>41.6</v>
      </c>
      <c r="BJ187">
        <v>49.3</v>
      </c>
      <c r="BK187">
        <v>50</v>
      </c>
      <c r="BL187">
        <v>226</v>
      </c>
      <c r="BM187">
        <v>33.9</v>
      </c>
      <c r="BN187">
        <v>259.89999999999998</v>
      </c>
      <c r="BO187">
        <v>259.89999999999998</v>
      </c>
      <c r="BQ187" t="s">
        <v>355</v>
      </c>
      <c r="BR187" t="s">
        <v>215</v>
      </c>
      <c r="BS187" s="2">
        <v>44309</v>
      </c>
      <c r="BT187" s="3">
        <v>0.36458333333333331</v>
      </c>
      <c r="BU187" t="s">
        <v>244</v>
      </c>
      <c r="BV187" t="s">
        <v>90</v>
      </c>
      <c r="BY187">
        <v>246684.62</v>
      </c>
      <c r="CA187" t="s">
        <v>158</v>
      </c>
      <c r="CC187" t="s">
        <v>109</v>
      </c>
      <c r="CD187">
        <v>299</v>
      </c>
      <c r="CE187" t="s">
        <v>80</v>
      </c>
      <c r="CF187" s="2">
        <v>44309</v>
      </c>
      <c r="CI187">
        <v>1</v>
      </c>
      <c r="CJ187">
        <v>1</v>
      </c>
      <c r="CK187" t="s">
        <v>168</v>
      </c>
      <c r="CL187" t="s">
        <v>79</v>
      </c>
    </row>
    <row r="188" spans="1:90" x14ac:dyDescent="0.25">
      <c r="A188" t="s">
        <v>211</v>
      </c>
      <c r="B188" t="s">
        <v>212</v>
      </c>
      <c r="C188" t="s">
        <v>72</v>
      </c>
      <c r="E188" t="str">
        <f>"009940956585"</f>
        <v>009940956585</v>
      </c>
      <c r="F188" s="2">
        <v>44312</v>
      </c>
      <c r="G188">
        <v>202110</v>
      </c>
      <c r="H188" t="s">
        <v>182</v>
      </c>
      <c r="I188" t="s">
        <v>183</v>
      </c>
      <c r="J188" t="s">
        <v>213</v>
      </c>
      <c r="K188" t="s">
        <v>73</v>
      </c>
      <c r="L188" t="s">
        <v>108</v>
      </c>
      <c r="M188" t="s">
        <v>109</v>
      </c>
      <c r="N188" t="s">
        <v>463</v>
      </c>
      <c r="O188" t="s">
        <v>100</v>
      </c>
      <c r="P188" t="str">
        <f t="shared" si="7"/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18.45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1.5</v>
      </c>
      <c r="BK188">
        <v>2</v>
      </c>
      <c r="BL188">
        <v>101.95</v>
      </c>
      <c r="BM188">
        <v>15.29</v>
      </c>
      <c r="BN188">
        <v>117.24</v>
      </c>
      <c r="BO188">
        <v>117.24</v>
      </c>
      <c r="BQ188" t="s">
        <v>355</v>
      </c>
      <c r="BR188" t="s">
        <v>447</v>
      </c>
      <c r="BS188" s="2">
        <v>44314</v>
      </c>
      <c r="BT188" s="3">
        <v>0.39444444444444443</v>
      </c>
      <c r="BU188" t="s">
        <v>464</v>
      </c>
      <c r="BV188" t="s">
        <v>90</v>
      </c>
      <c r="BY188">
        <v>7299.01</v>
      </c>
      <c r="CA188" t="s">
        <v>158</v>
      </c>
      <c r="CC188" t="s">
        <v>109</v>
      </c>
      <c r="CD188">
        <v>300</v>
      </c>
      <c r="CE188" t="s">
        <v>80</v>
      </c>
      <c r="CF188" s="2">
        <v>44314</v>
      </c>
      <c r="CI188">
        <v>1</v>
      </c>
      <c r="CJ188">
        <v>2</v>
      </c>
      <c r="CK188" t="s">
        <v>168</v>
      </c>
      <c r="CL188" t="s">
        <v>79</v>
      </c>
    </row>
    <row r="189" spans="1:90" x14ac:dyDescent="0.25">
      <c r="A189" t="s">
        <v>211</v>
      </c>
      <c r="B189" t="s">
        <v>212</v>
      </c>
      <c r="C189" t="s">
        <v>72</v>
      </c>
      <c r="E189" t="str">
        <f>"009939616687"</f>
        <v>009939616687</v>
      </c>
      <c r="F189" s="2">
        <v>44312</v>
      </c>
      <c r="G189">
        <v>202110</v>
      </c>
      <c r="H189" t="s">
        <v>182</v>
      </c>
      <c r="I189" t="s">
        <v>183</v>
      </c>
      <c r="J189" t="s">
        <v>213</v>
      </c>
      <c r="K189" t="s">
        <v>73</v>
      </c>
      <c r="L189" t="s">
        <v>163</v>
      </c>
      <c r="M189" t="s">
        <v>164</v>
      </c>
      <c r="N189" t="s">
        <v>465</v>
      </c>
      <c r="O189" t="s">
        <v>100</v>
      </c>
      <c r="P189" t="str">
        <f t="shared" si="7"/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23.98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5.2</v>
      </c>
      <c r="BJ189">
        <v>6.5</v>
      </c>
      <c r="BK189">
        <v>7</v>
      </c>
      <c r="BL189">
        <v>131.04</v>
      </c>
      <c r="BM189">
        <v>19.66</v>
      </c>
      <c r="BN189">
        <v>150.69999999999999</v>
      </c>
      <c r="BO189">
        <v>150.69999999999999</v>
      </c>
      <c r="BQ189" t="s">
        <v>214</v>
      </c>
      <c r="BR189" t="s">
        <v>103</v>
      </c>
      <c r="BS189" s="2">
        <v>44314</v>
      </c>
      <c r="BT189" s="3">
        <v>0.49513888888888885</v>
      </c>
      <c r="BU189" t="s">
        <v>466</v>
      </c>
      <c r="BV189" t="s">
        <v>90</v>
      </c>
      <c r="BY189">
        <v>32378.11</v>
      </c>
      <c r="CA189" t="s">
        <v>165</v>
      </c>
      <c r="CC189" t="s">
        <v>164</v>
      </c>
      <c r="CD189">
        <v>850</v>
      </c>
      <c r="CE189" t="s">
        <v>80</v>
      </c>
      <c r="CF189" s="2">
        <v>44314</v>
      </c>
      <c r="CI189">
        <v>1</v>
      </c>
      <c r="CJ189">
        <v>2</v>
      </c>
      <c r="CK189" t="s">
        <v>217</v>
      </c>
      <c r="CL189" t="s">
        <v>79</v>
      </c>
    </row>
    <row r="190" spans="1:90" x14ac:dyDescent="0.25">
      <c r="A190" t="s">
        <v>211</v>
      </c>
      <c r="B190" t="s">
        <v>212</v>
      </c>
      <c r="C190" t="s">
        <v>72</v>
      </c>
      <c r="E190" t="str">
        <f>"009940885755"</f>
        <v>009940885755</v>
      </c>
      <c r="F190" s="2">
        <v>44308</v>
      </c>
      <c r="G190">
        <v>202110</v>
      </c>
      <c r="H190" t="s">
        <v>171</v>
      </c>
      <c r="I190" t="s">
        <v>172</v>
      </c>
      <c r="J190" t="s">
        <v>213</v>
      </c>
      <c r="K190" t="s">
        <v>73</v>
      </c>
      <c r="L190" t="s">
        <v>330</v>
      </c>
      <c r="M190" t="s">
        <v>331</v>
      </c>
      <c r="N190" t="s">
        <v>467</v>
      </c>
      <c r="O190" t="s">
        <v>100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26.38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16</v>
      </c>
      <c r="BJ190">
        <v>22.7</v>
      </c>
      <c r="BK190">
        <v>23</v>
      </c>
      <c r="BL190">
        <v>143.62</v>
      </c>
      <c r="BM190">
        <v>21.54</v>
      </c>
      <c r="BN190">
        <v>165.16</v>
      </c>
      <c r="BO190">
        <v>165.16</v>
      </c>
      <c r="BQ190" t="s">
        <v>423</v>
      </c>
      <c r="BR190" t="s">
        <v>162</v>
      </c>
      <c r="BS190" s="2">
        <v>44309</v>
      </c>
      <c r="BT190" s="3">
        <v>0.55555555555555558</v>
      </c>
      <c r="BU190" t="s">
        <v>123</v>
      </c>
      <c r="BV190" t="s">
        <v>90</v>
      </c>
      <c r="BY190">
        <v>113526</v>
      </c>
      <c r="CA190" t="s">
        <v>336</v>
      </c>
      <c r="CC190" t="s">
        <v>331</v>
      </c>
      <c r="CD190">
        <v>920</v>
      </c>
      <c r="CE190" t="s">
        <v>80</v>
      </c>
      <c r="CF190" s="2">
        <v>44309</v>
      </c>
      <c r="CI190">
        <v>1</v>
      </c>
      <c r="CJ190">
        <v>1</v>
      </c>
      <c r="CK190" t="s">
        <v>131</v>
      </c>
      <c r="CL190" t="s">
        <v>79</v>
      </c>
    </row>
    <row r="191" spans="1:90" x14ac:dyDescent="0.25">
      <c r="A191" t="s">
        <v>211</v>
      </c>
      <c r="B191" t="s">
        <v>212</v>
      </c>
      <c r="C191" t="s">
        <v>72</v>
      </c>
      <c r="E191" t="str">
        <f>"009940885754"</f>
        <v>009940885754</v>
      </c>
      <c r="F191" s="2">
        <v>44308</v>
      </c>
      <c r="G191">
        <v>202110</v>
      </c>
      <c r="H191" t="s">
        <v>171</v>
      </c>
      <c r="I191" t="s">
        <v>172</v>
      </c>
      <c r="J191" t="s">
        <v>213</v>
      </c>
      <c r="K191" t="s">
        <v>73</v>
      </c>
      <c r="L191" t="s">
        <v>281</v>
      </c>
      <c r="M191" t="s">
        <v>282</v>
      </c>
      <c r="N191" t="s">
        <v>468</v>
      </c>
      <c r="O191" t="s">
        <v>100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53.69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2</v>
      </c>
      <c r="BI191">
        <v>14</v>
      </c>
      <c r="BJ191">
        <v>35.5</v>
      </c>
      <c r="BK191">
        <v>36</v>
      </c>
      <c r="BL191">
        <v>287.17</v>
      </c>
      <c r="BM191">
        <v>43.08</v>
      </c>
      <c r="BN191">
        <v>330.25</v>
      </c>
      <c r="BO191">
        <v>330.25</v>
      </c>
      <c r="BQ191" t="s">
        <v>284</v>
      </c>
      <c r="BS191" s="2">
        <v>44312</v>
      </c>
      <c r="BT191" s="3">
        <v>0.49305555555555558</v>
      </c>
      <c r="BU191" t="s">
        <v>170</v>
      </c>
      <c r="BV191" t="s">
        <v>90</v>
      </c>
      <c r="BY191">
        <v>88830</v>
      </c>
      <c r="CA191" t="s">
        <v>225</v>
      </c>
      <c r="CC191" t="s">
        <v>282</v>
      </c>
      <c r="CD191">
        <v>1150</v>
      </c>
      <c r="CE191" t="s">
        <v>80</v>
      </c>
      <c r="CF191" s="2">
        <v>44312</v>
      </c>
      <c r="CI191">
        <v>0</v>
      </c>
      <c r="CJ191">
        <v>0</v>
      </c>
      <c r="CK191" t="s">
        <v>196</v>
      </c>
      <c r="CL191" t="s">
        <v>79</v>
      </c>
    </row>
    <row r="192" spans="1:90" x14ac:dyDescent="0.25">
      <c r="A192" t="s">
        <v>211</v>
      </c>
      <c r="B192" t="s">
        <v>212</v>
      </c>
      <c r="C192" t="s">
        <v>72</v>
      </c>
      <c r="E192" t="str">
        <f>"009940885768"</f>
        <v>009940885768</v>
      </c>
      <c r="F192" s="2">
        <v>44308</v>
      </c>
      <c r="G192">
        <v>202110</v>
      </c>
      <c r="H192" t="s">
        <v>171</v>
      </c>
      <c r="I192" t="s">
        <v>172</v>
      </c>
      <c r="J192" t="s">
        <v>213</v>
      </c>
      <c r="K192" t="s">
        <v>73</v>
      </c>
      <c r="L192" t="s">
        <v>74</v>
      </c>
      <c r="M192" t="s">
        <v>75</v>
      </c>
      <c r="N192" t="s">
        <v>213</v>
      </c>
      <c r="O192" t="s">
        <v>100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18.45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</v>
      </c>
      <c r="BJ192">
        <v>2.4</v>
      </c>
      <c r="BK192">
        <v>3</v>
      </c>
      <c r="BL192">
        <v>101.95</v>
      </c>
      <c r="BM192">
        <v>15.29</v>
      </c>
      <c r="BN192">
        <v>117.24</v>
      </c>
      <c r="BO192">
        <v>117.24</v>
      </c>
      <c r="BQ192" t="s">
        <v>469</v>
      </c>
      <c r="BS192" s="2">
        <v>44309</v>
      </c>
      <c r="BT192" s="3">
        <v>0.48402777777777778</v>
      </c>
      <c r="BU192" t="s">
        <v>470</v>
      </c>
      <c r="BV192" t="s">
        <v>90</v>
      </c>
      <c r="BY192">
        <v>12000</v>
      </c>
      <c r="CA192" t="s">
        <v>132</v>
      </c>
      <c r="CC192" t="s">
        <v>75</v>
      </c>
      <c r="CD192">
        <v>2196</v>
      </c>
      <c r="CE192" t="s">
        <v>80</v>
      </c>
      <c r="CF192" s="2">
        <v>44309</v>
      </c>
      <c r="CI192">
        <v>1</v>
      </c>
      <c r="CJ192">
        <v>1</v>
      </c>
      <c r="CK192" t="s">
        <v>168</v>
      </c>
      <c r="CL192" t="s">
        <v>79</v>
      </c>
    </row>
    <row r="193" spans="1:90" x14ac:dyDescent="0.25">
      <c r="A193" t="s">
        <v>211</v>
      </c>
      <c r="B193" t="s">
        <v>212</v>
      </c>
      <c r="C193" t="s">
        <v>72</v>
      </c>
      <c r="E193" t="str">
        <f>"009940361902"</f>
        <v>009940361902</v>
      </c>
      <c r="F193" s="2">
        <v>44309</v>
      </c>
      <c r="G193">
        <v>202110</v>
      </c>
      <c r="H193" t="s">
        <v>163</v>
      </c>
      <c r="I193" t="s">
        <v>164</v>
      </c>
      <c r="J193" t="s">
        <v>213</v>
      </c>
      <c r="K193" t="s">
        <v>73</v>
      </c>
      <c r="L193" t="s">
        <v>171</v>
      </c>
      <c r="M193" t="s">
        <v>172</v>
      </c>
      <c r="N193" t="s">
        <v>213</v>
      </c>
      <c r="O193" t="s">
        <v>100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52.02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3</v>
      </c>
      <c r="BI193">
        <v>77</v>
      </c>
      <c r="BJ193">
        <v>81.5</v>
      </c>
      <c r="BK193">
        <v>82</v>
      </c>
      <c r="BL193">
        <v>278.39</v>
      </c>
      <c r="BM193">
        <v>41.76</v>
      </c>
      <c r="BN193">
        <v>320.14999999999998</v>
      </c>
      <c r="BO193">
        <v>320.14999999999998</v>
      </c>
      <c r="BQ193" t="s">
        <v>471</v>
      </c>
      <c r="BR193" t="s">
        <v>472</v>
      </c>
      <c r="BS193" s="2">
        <v>44309</v>
      </c>
      <c r="BT193" s="3">
        <v>0.51944444444444449</v>
      </c>
      <c r="BU193" t="s">
        <v>170</v>
      </c>
      <c r="BV193" t="s">
        <v>90</v>
      </c>
      <c r="BY193">
        <v>407608</v>
      </c>
      <c r="CA193" t="s">
        <v>225</v>
      </c>
      <c r="CC193" t="s">
        <v>172</v>
      </c>
      <c r="CD193">
        <v>700</v>
      </c>
      <c r="CE193" t="s">
        <v>80</v>
      </c>
      <c r="CF193" s="2">
        <v>44309</v>
      </c>
      <c r="CI193">
        <v>1</v>
      </c>
      <c r="CJ193">
        <v>0</v>
      </c>
      <c r="CK193" t="s">
        <v>101</v>
      </c>
      <c r="CL193" t="s">
        <v>79</v>
      </c>
    </row>
    <row r="194" spans="1:90" x14ac:dyDescent="0.25">
      <c r="A194" t="s">
        <v>211</v>
      </c>
      <c r="B194" t="s">
        <v>212</v>
      </c>
      <c r="C194" t="s">
        <v>72</v>
      </c>
      <c r="E194" t="str">
        <f>"009940885753"</f>
        <v>009940885753</v>
      </c>
      <c r="F194" s="2">
        <v>44312</v>
      </c>
      <c r="G194">
        <v>202110</v>
      </c>
      <c r="H194" t="s">
        <v>171</v>
      </c>
      <c r="I194" t="s">
        <v>172</v>
      </c>
      <c r="J194" t="s">
        <v>213</v>
      </c>
      <c r="K194" t="s">
        <v>73</v>
      </c>
      <c r="L194" t="s">
        <v>281</v>
      </c>
      <c r="M194" t="s">
        <v>282</v>
      </c>
      <c r="N194" t="s">
        <v>473</v>
      </c>
      <c r="O194" t="s">
        <v>100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73.5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2</v>
      </c>
      <c r="BI194">
        <v>28</v>
      </c>
      <c r="BJ194">
        <v>49.3</v>
      </c>
      <c r="BK194">
        <v>50</v>
      </c>
      <c r="BL194">
        <v>391.26</v>
      </c>
      <c r="BM194">
        <v>58.69</v>
      </c>
      <c r="BN194">
        <v>449.95</v>
      </c>
      <c r="BO194">
        <v>449.95</v>
      </c>
      <c r="BQ194" t="s">
        <v>284</v>
      </c>
      <c r="BS194" s="2">
        <v>44314</v>
      </c>
      <c r="BT194" s="3">
        <v>0.60347222222222219</v>
      </c>
      <c r="BU194" t="s">
        <v>474</v>
      </c>
      <c r="BV194" t="s">
        <v>90</v>
      </c>
      <c r="BY194">
        <v>246600</v>
      </c>
      <c r="CA194" t="s">
        <v>285</v>
      </c>
      <c r="CC194" t="s">
        <v>282</v>
      </c>
      <c r="CD194">
        <v>1150</v>
      </c>
      <c r="CE194" t="s">
        <v>80</v>
      </c>
      <c r="CF194" s="2">
        <v>44314</v>
      </c>
      <c r="CI194">
        <v>0</v>
      </c>
      <c r="CJ194">
        <v>0</v>
      </c>
      <c r="CK194" t="s">
        <v>196</v>
      </c>
      <c r="CL194" t="s">
        <v>79</v>
      </c>
    </row>
    <row r="195" spans="1:90" x14ac:dyDescent="0.25">
      <c r="A195" t="s">
        <v>211</v>
      </c>
      <c r="B195" t="s">
        <v>212</v>
      </c>
      <c r="C195" t="s">
        <v>72</v>
      </c>
      <c r="E195" t="str">
        <f>"080010097268"</f>
        <v>080010097268</v>
      </c>
      <c r="F195" s="2">
        <v>44308</v>
      </c>
      <c r="G195">
        <v>202110</v>
      </c>
      <c r="H195" t="s">
        <v>84</v>
      </c>
      <c r="I195" t="s">
        <v>85</v>
      </c>
      <c r="J195" t="s">
        <v>366</v>
      </c>
      <c r="K195" t="s">
        <v>73</v>
      </c>
      <c r="L195" t="s">
        <v>86</v>
      </c>
      <c r="M195" t="s">
        <v>87</v>
      </c>
      <c r="N195" t="s">
        <v>302</v>
      </c>
      <c r="O195" t="s">
        <v>76</v>
      </c>
      <c r="P195" t="str">
        <f t="shared" ref="P195:P200" si="8">"-                             "</f>
        <v xml:space="preserve">-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9.84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51.71</v>
      </c>
      <c r="BM195">
        <v>7.76</v>
      </c>
      <c r="BN195">
        <v>59.47</v>
      </c>
      <c r="BO195">
        <v>59.47</v>
      </c>
      <c r="BP195" t="s">
        <v>77</v>
      </c>
      <c r="BQ195" t="s">
        <v>475</v>
      </c>
      <c r="BR195" t="s">
        <v>369</v>
      </c>
      <c r="BS195" s="2">
        <v>44312</v>
      </c>
      <c r="BT195" s="3">
        <v>0.38263888888888892</v>
      </c>
      <c r="BU195" t="s">
        <v>401</v>
      </c>
      <c r="BV195" t="s">
        <v>90</v>
      </c>
      <c r="BY195">
        <v>1200</v>
      </c>
      <c r="CA195" t="s">
        <v>112</v>
      </c>
      <c r="CC195" t="s">
        <v>87</v>
      </c>
      <c r="CD195">
        <v>4091</v>
      </c>
      <c r="CE195" t="s">
        <v>476</v>
      </c>
      <c r="CF195" s="2">
        <v>44312</v>
      </c>
      <c r="CI195">
        <v>1</v>
      </c>
      <c r="CJ195">
        <v>1</v>
      </c>
      <c r="CK195">
        <v>21</v>
      </c>
      <c r="CL195" t="s">
        <v>79</v>
      </c>
    </row>
    <row r="196" spans="1:90" x14ac:dyDescent="0.25">
      <c r="A196" t="s">
        <v>211</v>
      </c>
      <c r="B196" t="s">
        <v>212</v>
      </c>
      <c r="C196" t="s">
        <v>72</v>
      </c>
      <c r="E196" t="str">
        <f>"080010097286"</f>
        <v>080010097286</v>
      </c>
      <c r="F196" s="2">
        <v>44308</v>
      </c>
      <c r="G196">
        <v>202110</v>
      </c>
      <c r="H196" t="s">
        <v>84</v>
      </c>
      <c r="I196" t="s">
        <v>85</v>
      </c>
      <c r="J196" t="s">
        <v>366</v>
      </c>
      <c r="K196" t="s">
        <v>73</v>
      </c>
      <c r="L196" t="s">
        <v>88</v>
      </c>
      <c r="M196" t="s">
        <v>89</v>
      </c>
      <c r="N196" t="s">
        <v>477</v>
      </c>
      <c r="O196" t="s">
        <v>76</v>
      </c>
      <c r="P196" t="str">
        <f t="shared" si="8"/>
        <v xml:space="preserve">-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9.84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51.71</v>
      </c>
      <c r="BM196">
        <v>7.76</v>
      </c>
      <c r="BN196">
        <v>59.47</v>
      </c>
      <c r="BO196">
        <v>59.47</v>
      </c>
      <c r="BP196" t="s">
        <v>77</v>
      </c>
      <c r="BQ196" t="s">
        <v>240</v>
      </c>
      <c r="BR196" t="s">
        <v>369</v>
      </c>
      <c r="BS196" s="2">
        <v>44312</v>
      </c>
      <c r="BT196" s="3">
        <v>0.39305555555555555</v>
      </c>
      <c r="BU196" t="s">
        <v>349</v>
      </c>
      <c r="BV196" t="s">
        <v>90</v>
      </c>
      <c r="BY196">
        <v>1200</v>
      </c>
      <c r="CA196" t="s">
        <v>113</v>
      </c>
      <c r="CC196" t="s">
        <v>89</v>
      </c>
      <c r="CD196">
        <v>6001</v>
      </c>
      <c r="CE196" t="s">
        <v>78</v>
      </c>
      <c r="CF196" s="2">
        <v>44312</v>
      </c>
      <c r="CI196">
        <v>1</v>
      </c>
      <c r="CJ196">
        <v>1</v>
      </c>
      <c r="CK196">
        <v>21</v>
      </c>
      <c r="CL196" t="s">
        <v>79</v>
      </c>
    </row>
    <row r="197" spans="1:90" x14ac:dyDescent="0.25">
      <c r="A197" t="s">
        <v>211</v>
      </c>
      <c r="B197" t="s">
        <v>212</v>
      </c>
      <c r="C197" t="s">
        <v>72</v>
      </c>
      <c r="E197" t="str">
        <f>"080010097288"</f>
        <v>080010097288</v>
      </c>
      <c r="F197" s="2">
        <v>44308</v>
      </c>
      <c r="G197">
        <v>202110</v>
      </c>
      <c r="H197" t="s">
        <v>84</v>
      </c>
      <c r="I197" t="s">
        <v>85</v>
      </c>
      <c r="J197" t="s">
        <v>366</v>
      </c>
      <c r="K197" t="s">
        <v>73</v>
      </c>
      <c r="L197" t="s">
        <v>330</v>
      </c>
      <c r="M197" t="s">
        <v>331</v>
      </c>
      <c r="N197" t="s">
        <v>332</v>
      </c>
      <c r="O197" t="s">
        <v>76</v>
      </c>
      <c r="P197" t="str">
        <f t="shared" si="8"/>
        <v xml:space="preserve">-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19.059999999999999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0.2</v>
      </c>
      <c r="BJ197">
        <v>1.5</v>
      </c>
      <c r="BK197">
        <v>1.5</v>
      </c>
      <c r="BL197">
        <v>100.18</v>
      </c>
      <c r="BM197">
        <v>15.03</v>
      </c>
      <c r="BN197">
        <v>115.21</v>
      </c>
      <c r="BO197">
        <v>115.21</v>
      </c>
      <c r="BP197" t="s">
        <v>77</v>
      </c>
      <c r="BQ197" t="s">
        <v>423</v>
      </c>
      <c r="BR197" t="s">
        <v>369</v>
      </c>
      <c r="BS197" s="2">
        <v>44312</v>
      </c>
      <c r="BT197" s="3">
        <v>0.55833333333333335</v>
      </c>
      <c r="BU197" t="s">
        <v>173</v>
      </c>
      <c r="BV197" t="s">
        <v>79</v>
      </c>
      <c r="BW197" t="s">
        <v>116</v>
      </c>
      <c r="BX197" t="s">
        <v>478</v>
      </c>
      <c r="BY197">
        <v>7473.24</v>
      </c>
      <c r="CA197" t="s">
        <v>336</v>
      </c>
      <c r="CC197" t="s">
        <v>331</v>
      </c>
      <c r="CD197">
        <v>920</v>
      </c>
      <c r="CE197" t="s">
        <v>80</v>
      </c>
      <c r="CF197" s="2">
        <v>44312</v>
      </c>
      <c r="CI197">
        <v>1</v>
      </c>
      <c r="CJ197">
        <v>1</v>
      </c>
      <c r="CK197">
        <v>23</v>
      </c>
      <c r="CL197" t="s">
        <v>79</v>
      </c>
    </row>
    <row r="198" spans="1:90" x14ac:dyDescent="0.25">
      <c r="A198" t="s">
        <v>211</v>
      </c>
      <c r="B198" t="s">
        <v>212</v>
      </c>
      <c r="C198" t="s">
        <v>72</v>
      </c>
      <c r="E198" t="str">
        <f>"080010097292"</f>
        <v>080010097292</v>
      </c>
      <c r="F198" s="2">
        <v>44308</v>
      </c>
      <c r="G198">
        <v>202110</v>
      </c>
      <c r="H198" t="s">
        <v>84</v>
      </c>
      <c r="I198" t="s">
        <v>85</v>
      </c>
      <c r="J198" t="s">
        <v>366</v>
      </c>
      <c r="K198" t="s">
        <v>73</v>
      </c>
      <c r="L198" t="s">
        <v>201</v>
      </c>
      <c r="M198" t="s">
        <v>202</v>
      </c>
      <c r="N198" t="s">
        <v>479</v>
      </c>
      <c r="O198" t="s">
        <v>76</v>
      </c>
      <c r="P198" t="str">
        <f t="shared" si="8"/>
        <v xml:space="preserve">-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19.059999999999999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100.18</v>
      </c>
      <c r="BM198">
        <v>15.03</v>
      </c>
      <c r="BN198">
        <v>115.21</v>
      </c>
      <c r="BO198">
        <v>115.21</v>
      </c>
      <c r="BP198" t="s">
        <v>77</v>
      </c>
      <c r="BQ198" t="s">
        <v>480</v>
      </c>
      <c r="BR198" t="s">
        <v>369</v>
      </c>
      <c r="BS198" s="2">
        <v>44312</v>
      </c>
      <c r="BT198" s="3">
        <v>0.5083333333333333</v>
      </c>
      <c r="BU198" t="s">
        <v>481</v>
      </c>
      <c r="BV198" t="s">
        <v>90</v>
      </c>
      <c r="BY198">
        <v>1200</v>
      </c>
      <c r="CA198" t="s">
        <v>188</v>
      </c>
      <c r="CC198" t="s">
        <v>202</v>
      </c>
      <c r="CD198">
        <v>4240</v>
      </c>
      <c r="CE198" t="s">
        <v>476</v>
      </c>
      <c r="CF198" s="2">
        <v>44312</v>
      </c>
      <c r="CI198">
        <v>2</v>
      </c>
      <c r="CJ198">
        <v>1</v>
      </c>
      <c r="CK198">
        <v>23</v>
      </c>
      <c r="CL198" t="s">
        <v>79</v>
      </c>
    </row>
    <row r="199" spans="1:90" x14ac:dyDescent="0.25">
      <c r="A199" t="s">
        <v>211</v>
      </c>
      <c r="B199" t="s">
        <v>212</v>
      </c>
      <c r="C199" t="s">
        <v>72</v>
      </c>
      <c r="E199" t="str">
        <f>"080010097310"</f>
        <v>080010097310</v>
      </c>
      <c r="F199" s="2">
        <v>44308</v>
      </c>
      <c r="G199">
        <v>202110</v>
      </c>
      <c r="H199" t="s">
        <v>84</v>
      </c>
      <c r="I199" t="s">
        <v>85</v>
      </c>
      <c r="J199" t="s">
        <v>366</v>
      </c>
      <c r="K199" t="s">
        <v>73</v>
      </c>
      <c r="L199" t="s">
        <v>74</v>
      </c>
      <c r="M199" t="s">
        <v>75</v>
      </c>
      <c r="N199" t="s">
        <v>213</v>
      </c>
      <c r="O199" t="s">
        <v>76</v>
      </c>
      <c r="P199" t="str">
        <f t="shared" si="8"/>
        <v xml:space="preserve">-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7.69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0.7</v>
      </c>
      <c r="BJ199">
        <v>2.8</v>
      </c>
      <c r="BK199">
        <v>3</v>
      </c>
      <c r="BL199">
        <v>40.4</v>
      </c>
      <c r="BM199">
        <v>6.06</v>
      </c>
      <c r="BN199">
        <v>46.46</v>
      </c>
      <c r="BO199">
        <v>46.46</v>
      </c>
      <c r="BP199" t="s">
        <v>77</v>
      </c>
      <c r="BQ199" t="s">
        <v>482</v>
      </c>
      <c r="BR199" t="s">
        <v>369</v>
      </c>
      <c r="BS199" s="2">
        <v>44312</v>
      </c>
      <c r="BT199" s="3">
        <v>0.30833333333333335</v>
      </c>
      <c r="BU199" t="s">
        <v>483</v>
      </c>
      <c r="BV199" t="s">
        <v>90</v>
      </c>
      <c r="BY199">
        <v>14196</v>
      </c>
      <c r="CA199" t="s">
        <v>206</v>
      </c>
      <c r="CC199" t="s">
        <v>75</v>
      </c>
      <c r="CD199">
        <v>2031</v>
      </c>
      <c r="CE199" t="s">
        <v>476</v>
      </c>
      <c r="CF199" s="2">
        <v>44313</v>
      </c>
      <c r="CI199">
        <v>1</v>
      </c>
      <c r="CJ199">
        <v>1</v>
      </c>
      <c r="CK199">
        <v>22</v>
      </c>
      <c r="CL199" t="s">
        <v>79</v>
      </c>
    </row>
    <row r="200" spans="1:90" x14ac:dyDescent="0.25">
      <c r="A200" t="s">
        <v>211</v>
      </c>
      <c r="B200" t="s">
        <v>212</v>
      </c>
      <c r="C200" t="s">
        <v>72</v>
      </c>
      <c r="E200" t="str">
        <f>"080010097263"</f>
        <v>080010097263</v>
      </c>
      <c r="F200" s="2">
        <v>44308</v>
      </c>
      <c r="G200">
        <v>202110</v>
      </c>
      <c r="H200" t="s">
        <v>84</v>
      </c>
      <c r="I200" t="s">
        <v>85</v>
      </c>
      <c r="J200" t="s">
        <v>366</v>
      </c>
      <c r="K200" t="s">
        <v>73</v>
      </c>
      <c r="L200" t="s">
        <v>93</v>
      </c>
      <c r="M200" t="s">
        <v>94</v>
      </c>
      <c r="N200" t="s">
        <v>367</v>
      </c>
      <c r="O200" t="s">
        <v>76</v>
      </c>
      <c r="P200" t="str">
        <f t="shared" si="8"/>
        <v xml:space="preserve">-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9.84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51.71</v>
      </c>
      <c r="BM200">
        <v>7.76</v>
      </c>
      <c r="BN200">
        <v>59.47</v>
      </c>
      <c r="BO200">
        <v>59.47</v>
      </c>
      <c r="BP200" t="s">
        <v>77</v>
      </c>
      <c r="BQ200" t="s">
        <v>368</v>
      </c>
      <c r="BR200" t="s">
        <v>369</v>
      </c>
      <c r="BS200" s="2">
        <v>44312</v>
      </c>
      <c r="BT200" s="3">
        <v>0.3444444444444445</v>
      </c>
      <c r="BU200" t="s">
        <v>484</v>
      </c>
      <c r="BV200" t="s">
        <v>90</v>
      </c>
      <c r="BY200">
        <v>1200</v>
      </c>
      <c r="CC200" t="s">
        <v>94</v>
      </c>
      <c r="CD200">
        <v>7700</v>
      </c>
      <c r="CE200" t="s">
        <v>476</v>
      </c>
      <c r="CF200" s="2">
        <v>44314</v>
      </c>
      <c r="CI200">
        <v>1</v>
      </c>
      <c r="CJ200">
        <v>1</v>
      </c>
      <c r="CK200">
        <v>21</v>
      </c>
      <c r="CL200" t="s">
        <v>79</v>
      </c>
    </row>
    <row r="201" spans="1:90" x14ac:dyDescent="0.25">
      <c r="A201" t="s">
        <v>211</v>
      </c>
      <c r="B201" t="s">
        <v>212</v>
      </c>
      <c r="C201" t="s">
        <v>72</v>
      </c>
      <c r="E201" t="str">
        <f>"009940361962"</f>
        <v>009940361962</v>
      </c>
      <c r="F201" s="2">
        <v>44310</v>
      </c>
      <c r="G201">
        <v>202110</v>
      </c>
      <c r="H201" t="s">
        <v>163</v>
      </c>
      <c r="I201" t="s">
        <v>164</v>
      </c>
      <c r="J201" t="s">
        <v>213</v>
      </c>
      <c r="K201" t="s">
        <v>73</v>
      </c>
      <c r="L201" t="s">
        <v>171</v>
      </c>
      <c r="M201" t="s">
        <v>172</v>
      </c>
      <c r="N201" t="s">
        <v>213</v>
      </c>
      <c r="O201" t="s">
        <v>100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25.3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31</v>
      </c>
      <c r="BJ201">
        <v>10.4</v>
      </c>
      <c r="BK201">
        <v>31</v>
      </c>
      <c r="BL201">
        <v>137.94</v>
      </c>
      <c r="BM201">
        <v>20.69</v>
      </c>
      <c r="BN201">
        <v>158.63</v>
      </c>
      <c r="BO201">
        <v>158.63</v>
      </c>
      <c r="BQ201" t="s">
        <v>162</v>
      </c>
      <c r="BR201" t="s">
        <v>179</v>
      </c>
      <c r="BS201" s="2">
        <v>44314</v>
      </c>
      <c r="BT201" s="3">
        <v>0.48472222222222222</v>
      </c>
      <c r="BU201" t="s">
        <v>170</v>
      </c>
      <c r="BV201" t="s">
        <v>90</v>
      </c>
      <c r="BY201">
        <v>52059</v>
      </c>
      <c r="CA201" t="s">
        <v>485</v>
      </c>
      <c r="CC201" t="s">
        <v>172</v>
      </c>
      <c r="CD201">
        <v>700</v>
      </c>
      <c r="CE201" t="s">
        <v>80</v>
      </c>
      <c r="CF201" s="2">
        <v>44314</v>
      </c>
      <c r="CI201">
        <v>1</v>
      </c>
      <c r="CJ201">
        <v>2</v>
      </c>
      <c r="CK201" t="s">
        <v>101</v>
      </c>
      <c r="CL201" t="s">
        <v>79</v>
      </c>
    </row>
    <row r="202" spans="1:90" x14ac:dyDescent="0.25">
      <c r="A202" t="s">
        <v>211</v>
      </c>
      <c r="B202" t="s">
        <v>212</v>
      </c>
      <c r="C202" t="s">
        <v>72</v>
      </c>
      <c r="E202" t="str">
        <f>"009940864678"</f>
        <v>009940864678</v>
      </c>
      <c r="F202" s="2">
        <v>44310</v>
      </c>
      <c r="G202">
        <v>202110</v>
      </c>
      <c r="H202" t="s">
        <v>163</v>
      </c>
      <c r="I202" t="s">
        <v>164</v>
      </c>
      <c r="J202" t="s">
        <v>213</v>
      </c>
      <c r="K202" t="s">
        <v>73</v>
      </c>
      <c r="L202" t="s">
        <v>171</v>
      </c>
      <c r="M202" t="s">
        <v>172</v>
      </c>
      <c r="N202" t="s">
        <v>486</v>
      </c>
      <c r="O202" t="s">
        <v>100</v>
      </c>
      <c r="P202" t="str">
        <f>"                              "</f>
        <v xml:space="preserve"> 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16.91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2</v>
      </c>
      <c r="BI202">
        <v>7</v>
      </c>
      <c r="BJ202">
        <v>4.5999999999999996</v>
      </c>
      <c r="BK202">
        <v>7</v>
      </c>
      <c r="BL202">
        <v>93.87</v>
      </c>
      <c r="BM202">
        <v>14.08</v>
      </c>
      <c r="BN202">
        <v>107.95</v>
      </c>
      <c r="BO202">
        <v>107.95</v>
      </c>
      <c r="BR202" t="s">
        <v>487</v>
      </c>
      <c r="BS202" s="2">
        <v>44312</v>
      </c>
      <c r="BT202" s="3">
        <v>0.49305555555555558</v>
      </c>
      <c r="BU202" t="s">
        <v>170</v>
      </c>
      <c r="BV202" t="s">
        <v>90</v>
      </c>
      <c r="BY202">
        <v>23188</v>
      </c>
      <c r="CA202" t="s">
        <v>225</v>
      </c>
      <c r="CC202" t="s">
        <v>172</v>
      </c>
      <c r="CD202">
        <v>700</v>
      </c>
      <c r="CE202" t="s">
        <v>80</v>
      </c>
      <c r="CF202" s="2">
        <v>44312</v>
      </c>
      <c r="CI202">
        <v>1</v>
      </c>
      <c r="CJ202">
        <v>0</v>
      </c>
      <c r="CK202" t="s">
        <v>101</v>
      </c>
      <c r="CL202" t="s">
        <v>79</v>
      </c>
    </row>
    <row r="203" spans="1:90" x14ac:dyDescent="0.25">
      <c r="A203" t="s">
        <v>211</v>
      </c>
      <c r="B203" t="s">
        <v>212</v>
      </c>
      <c r="C203" t="s">
        <v>72</v>
      </c>
      <c r="E203" t="str">
        <f>"009940540807"</f>
        <v>009940540807</v>
      </c>
      <c r="F203" s="2">
        <v>44309</v>
      </c>
      <c r="G203">
        <v>202110</v>
      </c>
      <c r="H203" t="s">
        <v>182</v>
      </c>
      <c r="I203" t="s">
        <v>183</v>
      </c>
      <c r="J203" t="s">
        <v>213</v>
      </c>
      <c r="K203" t="s">
        <v>73</v>
      </c>
      <c r="L203" t="s">
        <v>86</v>
      </c>
      <c r="M203" t="s">
        <v>87</v>
      </c>
      <c r="N203" t="s">
        <v>213</v>
      </c>
      <c r="O203" t="s">
        <v>76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9.84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51.71</v>
      </c>
      <c r="BM203">
        <v>7.76</v>
      </c>
      <c r="BN203">
        <v>59.47</v>
      </c>
      <c r="BO203">
        <v>59.47</v>
      </c>
      <c r="BQ203" t="s">
        <v>328</v>
      </c>
      <c r="BR203" t="s">
        <v>488</v>
      </c>
      <c r="BS203" s="2">
        <v>44312</v>
      </c>
      <c r="BT203" s="3">
        <v>0.38263888888888892</v>
      </c>
      <c r="BU203" t="s">
        <v>401</v>
      </c>
      <c r="BV203" t="s">
        <v>90</v>
      </c>
      <c r="BY203">
        <v>1200</v>
      </c>
      <c r="BZ203" t="s">
        <v>81</v>
      </c>
      <c r="CA203" t="s">
        <v>112</v>
      </c>
      <c r="CC203" t="s">
        <v>87</v>
      </c>
      <c r="CD203">
        <v>4091</v>
      </c>
      <c r="CE203" t="s">
        <v>80</v>
      </c>
      <c r="CF203" s="2">
        <v>44312</v>
      </c>
      <c r="CI203">
        <v>1</v>
      </c>
      <c r="CJ203">
        <v>1</v>
      </c>
      <c r="CK203">
        <v>21</v>
      </c>
      <c r="CL203" t="s">
        <v>79</v>
      </c>
    </row>
    <row r="204" spans="1:90" x14ac:dyDescent="0.25">
      <c r="A204" t="s">
        <v>211</v>
      </c>
      <c r="B204" t="s">
        <v>212</v>
      </c>
      <c r="C204" t="s">
        <v>72</v>
      </c>
      <c r="E204" t="str">
        <f>"009935998783"</f>
        <v>009935998783</v>
      </c>
      <c r="F204" s="2">
        <v>44309</v>
      </c>
      <c r="G204">
        <v>202110</v>
      </c>
      <c r="H204" t="s">
        <v>182</v>
      </c>
      <c r="I204" t="s">
        <v>183</v>
      </c>
      <c r="J204" t="s">
        <v>213</v>
      </c>
      <c r="K204" t="s">
        <v>73</v>
      </c>
      <c r="L204" t="s">
        <v>199</v>
      </c>
      <c r="M204" t="s">
        <v>200</v>
      </c>
      <c r="N204" t="s">
        <v>489</v>
      </c>
      <c r="O204" t="s">
        <v>76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9.84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</v>
      </c>
      <c r="BJ204">
        <v>0.2</v>
      </c>
      <c r="BK204">
        <v>1</v>
      </c>
      <c r="BL204">
        <v>51.71</v>
      </c>
      <c r="BM204">
        <v>7.76</v>
      </c>
      <c r="BN204">
        <v>59.47</v>
      </c>
      <c r="BO204">
        <v>59.47</v>
      </c>
      <c r="BQ204" t="s">
        <v>264</v>
      </c>
      <c r="BR204" t="s">
        <v>490</v>
      </c>
      <c r="BS204" s="2">
        <v>44312</v>
      </c>
      <c r="BT204" s="3">
        <v>0.44444444444444442</v>
      </c>
      <c r="BU204" t="s">
        <v>491</v>
      </c>
      <c r="BV204" t="s">
        <v>79</v>
      </c>
      <c r="BW204" t="s">
        <v>154</v>
      </c>
      <c r="BX204" t="s">
        <v>492</v>
      </c>
      <c r="BY204">
        <v>1200</v>
      </c>
      <c r="BZ204" t="s">
        <v>81</v>
      </c>
      <c r="CA204" t="s">
        <v>266</v>
      </c>
      <c r="CC204" t="s">
        <v>200</v>
      </c>
      <c r="CD204">
        <v>9300</v>
      </c>
      <c r="CE204" t="s">
        <v>80</v>
      </c>
      <c r="CF204" s="2">
        <v>44314</v>
      </c>
      <c r="CI204">
        <v>1</v>
      </c>
      <c r="CJ204">
        <v>1</v>
      </c>
      <c r="CK204">
        <v>21</v>
      </c>
      <c r="CL204" t="s">
        <v>79</v>
      </c>
    </row>
    <row r="205" spans="1:90" x14ac:dyDescent="0.25">
      <c r="A205" t="s">
        <v>211</v>
      </c>
      <c r="B205" t="s">
        <v>212</v>
      </c>
      <c r="C205" t="s">
        <v>72</v>
      </c>
      <c r="E205" t="str">
        <f>"009940540740"</f>
        <v>009940540740</v>
      </c>
      <c r="F205" s="2">
        <v>44309</v>
      </c>
      <c r="G205">
        <v>202110</v>
      </c>
      <c r="H205" t="s">
        <v>182</v>
      </c>
      <c r="I205" t="s">
        <v>183</v>
      </c>
      <c r="J205" t="s">
        <v>213</v>
      </c>
      <c r="K205" t="s">
        <v>73</v>
      </c>
      <c r="L205" t="s">
        <v>133</v>
      </c>
      <c r="M205" t="s">
        <v>94</v>
      </c>
      <c r="N205" t="s">
        <v>213</v>
      </c>
      <c r="O205" t="s">
        <v>100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20.14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110.85</v>
      </c>
      <c r="BM205">
        <v>16.63</v>
      </c>
      <c r="BN205">
        <v>127.48</v>
      </c>
      <c r="BO205">
        <v>127.48</v>
      </c>
      <c r="BQ205" t="s">
        <v>493</v>
      </c>
      <c r="BR205" t="s">
        <v>311</v>
      </c>
      <c r="BS205" s="2">
        <v>44312</v>
      </c>
      <c r="BT205" s="3">
        <v>0.38680555555555557</v>
      </c>
      <c r="BU205" t="s">
        <v>138</v>
      </c>
      <c r="BV205" t="s">
        <v>90</v>
      </c>
      <c r="BY205">
        <v>1200</v>
      </c>
      <c r="CA205" t="s">
        <v>226</v>
      </c>
      <c r="CC205" t="s">
        <v>94</v>
      </c>
      <c r="CD205">
        <v>7925</v>
      </c>
      <c r="CE205" t="s">
        <v>80</v>
      </c>
      <c r="CF205" s="2">
        <v>44314</v>
      </c>
      <c r="CI205">
        <v>2</v>
      </c>
      <c r="CJ205">
        <v>1</v>
      </c>
      <c r="CK205" t="s">
        <v>134</v>
      </c>
      <c r="CL205" t="s">
        <v>79</v>
      </c>
    </row>
    <row r="206" spans="1:90" x14ac:dyDescent="0.25">
      <c r="A206" t="s">
        <v>211</v>
      </c>
      <c r="B206" t="s">
        <v>212</v>
      </c>
      <c r="C206" t="s">
        <v>72</v>
      </c>
      <c r="E206" t="str">
        <f>"009940540795"</f>
        <v>009940540795</v>
      </c>
      <c r="F206" s="2">
        <v>44309</v>
      </c>
      <c r="G206">
        <v>202110</v>
      </c>
      <c r="H206" t="s">
        <v>182</v>
      </c>
      <c r="I206" t="s">
        <v>183</v>
      </c>
      <c r="J206" t="s">
        <v>213</v>
      </c>
      <c r="K206" t="s">
        <v>73</v>
      </c>
      <c r="L206" t="s">
        <v>86</v>
      </c>
      <c r="M206" t="s">
        <v>87</v>
      </c>
      <c r="N206" t="s">
        <v>213</v>
      </c>
      <c r="O206" t="s">
        <v>100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245.21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133</v>
      </c>
      <c r="BJ206">
        <v>411.4</v>
      </c>
      <c r="BK206">
        <v>412</v>
      </c>
      <c r="BL206">
        <v>1293.6500000000001</v>
      </c>
      <c r="BM206">
        <v>194.05</v>
      </c>
      <c r="BN206">
        <v>1487.7</v>
      </c>
      <c r="BO206">
        <v>1487.7</v>
      </c>
      <c r="BQ206" t="s">
        <v>328</v>
      </c>
      <c r="BR206" t="s">
        <v>447</v>
      </c>
      <c r="BS206" s="2">
        <v>44312</v>
      </c>
      <c r="BT206" s="3">
        <v>0.4604166666666667</v>
      </c>
      <c r="BU206" t="s">
        <v>401</v>
      </c>
      <c r="BV206" t="s">
        <v>90</v>
      </c>
      <c r="BY206">
        <v>2057000</v>
      </c>
      <c r="CA206" t="s">
        <v>228</v>
      </c>
      <c r="CC206" t="s">
        <v>87</v>
      </c>
      <c r="CD206">
        <v>4000</v>
      </c>
      <c r="CE206" t="s">
        <v>80</v>
      </c>
      <c r="CF206" s="2">
        <v>44312</v>
      </c>
      <c r="CI206">
        <v>1</v>
      </c>
      <c r="CJ206">
        <v>1</v>
      </c>
      <c r="CK206" t="s">
        <v>102</v>
      </c>
      <c r="CL206" t="s">
        <v>79</v>
      </c>
    </row>
    <row r="207" spans="1:90" x14ac:dyDescent="0.25">
      <c r="A207" t="s">
        <v>211</v>
      </c>
      <c r="B207" t="s">
        <v>212</v>
      </c>
      <c r="C207" t="s">
        <v>72</v>
      </c>
      <c r="E207" t="str">
        <f>"009935501130"</f>
        <v>009935501130</v>
      </c>
      <c r="F207" s="2">
        <v>44309</v>
      </c>
      <c r="G207">
        <v>202110</v>
      </c>
      <c r="H207" t="s">
        <v>182</v>
      </c>
      <c r="I207" t="s">
        <v>183</v>
      </c>
      <c r="J207" t="s">
        <v>213</v>
      </c>
      <c r="K207" t="s">
        <v>73</v>
      </c>
      <c r="L207" t="s">
        <v>88</v>
      </c>
      <c r="M207" t="s">
        <v>89</v>
      </c>
      <c r="N207" t="s">
        <v>494</v>
      </c>
      <c r="O207" t="s">
        <v>100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20.14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2.9</v>
      </c>
      <c r="BJ207">
        <v>6.1</v>
      </c>
      <c r="BK207">
        <v>6</v>
      </c>
      <c r="BL207">
        <v>110.85</v>
      </c>
      <c r="BM207">
        <v>16.63</v>
      </c>
      <c r="BN207">
        <v>127.48</v>
      </c>
      <c r="BO207">
        <v>127.48</v>
      </c>
      <c r="BQ207" t="s">
        <v>348</v>
      </c>
      <c r="BR207" t="s">
        <v>235</v>
      </c>
      <c r="BS207" s="2">
        <v>44312</v>
      </c>
      <c r="BT207" s="3">
        <v>0.42708333333333331</v>
      </c>
      <c r="BU207" t="s">
        <v>349</v>
      </c>
      <c r="BV207" t="s">
        <v>90</v>
      </c>
      <c r="BY207">
        <v>30386.66</v>
      </c>
      <c r="CA207" t="s">
        <v>113</v>
      </c>
      <c r="CC207" t="s">
        <v>89</v>
      </c>
      <c r="CD207">
        <v>6045</v>
      </c>
      <c r="CE207" t="s">
        <v>80</v>
      </c>
      <c r="CF207" s="2">
        <v>44312</v>
      </c>
      <c r="CI207">
        <v>2</v>
      </c>
      <c r="CJ207">
        <v>1</v>
      </c>
      <c r="CK207" t="s">
        <v>134</v>
      </c>
      <c r="CL207" t="s">
        <v>79</v>
      </c>
    </row>
    <row r="208" spans="1:90" x14ac:dyDescent="0.25">
      <c r="A208" t="s">
        <v>211</v>
      </c>
      <c r="B208" t="s">
        <v>212</v>
      </c>
      <c r="C208" t="s">
        <v>72</v>
      </c>
      <c r="E208" t="str">
        <f>"009940540742"</f>
        <v>009940540742</v>
      </c>
      <c r="F208" s="2">
        <v>44309</v>
      </c>
      <c r="G208">
        <v>202110</v>
      </c>
      <c r="H208" t="s">
        <v>182</v>
      </c>
      <c r="I208" t="s">
        <v>183</v>
      </c>
      <c r="J208" t="s">
        <v>213</v>
      </c>
      <c r="K208" t="s">
        <v>73</v>
      </c>
      <c r="L208" t="s">
        <v>133</v>
      </c>
      <c r="M208" t="s">
        <v>94</v>
      </c>
      <c r="N208" t="s">
        <v>213</v>
      </c>
      <c r="O208" t="s">
        <v>100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253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4</v>
      </c>
      <c r="BI208">
        <v>196.7</v>
      </c>
      <c r="BJ208">
        <v>285</v>
      </c>
      <c r="BK208">
        <v>285</v>
      </c>
      <c r="BL208">
        <v>1334.61</v>
      </c>
      <c r="BM208">
        <v>200.19</v>
      </c>
      <c r="BN208">
        <v>1534.8</v>
      </c>
      <c r="BO208">
        <v>1534.8</v>
      </c>
      <c r="BQ208" t="s">
        <v>263</v>
      </c>
      <c r="BR208" t="s">
        <v>447</v>
      </c>
      <c r="BS208" s="2">
        <v>44312</v>
      </c>
      <c r="BT208" s="3">
        <v>0.38611111111111113</v>
      </c>
      <c r="BU208" t="s">
        <v>138</v>
      </c>
      <c r="BV208" t="s">
        <v>90</v>
      </c>
      <c r="BY208">
        <v>1425100.46</v>
      </c>
      <c r="CA208" t="s">
        <v>226</v>
      </c>
      <c r="CC208" t="s">
        <v>94</v>
      </c>
      <c r="CD208">
        <v>7925</v>
      </c>
      <c r="CE208" t="s">
        <v>80</v>
      </c>
      <c r="CF208" s="2">
        <v>44314</v>
      </c>
      <c r="CI208">
        <v>2</v>
      </c>
      <c r="CJ208">
        <v>1</v>
      </c>
      <c r="CK208" t="s">
        <v>134</v>
      </c>
      <c r="CL208" t="s">
        <v>79</v>
      </c>
    </row>
    <row r="209" spans="1:90" x14ac:dyDescent="0.25">
      <c r="A209" t="s">
        <v>211</v>
      </c>
      <c r="B209" t="s">
        <v>212</v>
      </c>
      <c r="C209" t="s">
        <v>72</v>
      </c>
      <c r="E209" t="str">
        <f>"009940956782"</f>
        <v>009940956782</v>
      </c>
      <c r="F209" s="2">
        <v>44309</v>
      </c>
      <c r="G209">
        <v>202110</v>
      </c>
      <c r="H209" t="s">
        <v>182</v>
      </c>
      <c r="I209" t="s">
        <v>183</v>
      </c>
      <c r="J209" t="s">
        <v>213</v>
      </c>
      <c r="K209" t="s">
        <v>73</v>
      </c>
      <c r="L209" t="s">
        <v>98</v>
      </c>
      <c r="M209" t="s">
        <v>99</v>
      </c>
      <c r="N209" t="s">
        <v>213</v>
      </c>
      <c r="O209" t="s">
        <v>100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18.45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0.2</v>
      </c>
      <c r="BK209">
        <v>1</v>
      </c>
      <c r="BL209">
        <v>101.95</v>
      </c>
      <c r="BM209">
        <v>15.29</v>
      </c>
      <c r="BN209">
        <v>117.24</v>
      </c>
      <c r="BO209">
        <v>117.24</v>
      </c>
      <c r="BQ209" t="s">
        <v>495</v>
      </c>
      <c r="BR209" t="s">
        <v>447</v>
      </c>
      <c r="BS209" s="2">
        <v>44312</v>
      </c>
      <c r="BT209" s="3">
        <v>0.33611111111111108</v>
      </c>
      <c r="BU209" t="s">
        <v>496</v>
      </c>
      <c r="BV209" t="s">
        <v>90</v>
      </c>
      <c r="BY209">
        <v>1200</v>
      </c>
      <c r="CA209" t="s">
        <v>208</v>
      </c>
      <c r="CC209" t="s">
        <v>99</v>
      </c>
      <c r="CD209">
        <v>1034</v>
      </c>
      <c r="CE209" t="s">
        <v>80</v>
      </c>
      <c r="CF209" s="2">
        <v>44312</v>
      </c>
      <c r="CI209">
        <v>1</v>
      </c>
      <c r="CJ209">
        <v>1</v>
      </c>
      <c r="CK209" t="s">
        <v>168</v>
      </c>
      <c r="CL209" t="s">
        <v>79</v>
      </c>
    </row>
    <row r="210" spans="1:90" x14ac:dyDescent="0.25">
      <c r="A210" t="s">
        <v>211</v>
      </c>
      <c r="B210" t="s">
        <v>212</v>
      </c>
      <c r="C210" t="s">
        <v>72</v>
      </c>
      <c r="E210" t="str">
        <f>"009940350114"</f>
        <v>009940350114</v>
      </c>
      <c r="F210" s="2">
        <v>44309</v>
      </c>
      <c r="G210">
        <v>202110</v>
      </c>
      <c r="H210" t="s">
        <v>182</v>
      </c>
      <c r="I210" t="s">
        <v>183</v>
      </c>
      <c r="J210" t="s">
        <v>213</v>
      </c>
      <c r="K210" t="s">
        <v>73</v>
      </c>
      <c r="L210" t="s">
        <v>431</v>
      </c>
      <c r="M210" t="s">
        <v>198</v>
      </c>
      <c r="N210" t="s">
        <v>218</v>
      </c>
      <c r="O210" t="s">
        <v>100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147.30000000000001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155</v>
      </c>
      <c r="BJ210">
        <v>244</v>
      </c>
      <c r="BK210">
        <v>244</v>
      </c>
      <c r="BL210">
        <v>779.1</v>
      </c>
      <c r="BM210">
        <v>116.87</v>
      </c>
      <c r="BN210">
        <v>895.97</v>
      </c>
      <c r="BO210">
        <v>895.97</v>
      </c>
      <c r="BQ210" t="s">
        <v>175</v>
      </c>
      <c r="BR210" t="s">
        <v>447</v>
      </c>
      <c r="BS210" s="2">
        <v>44314</v>
      </c>
      <c r="BT210" s="3">
        <v>0.41666666666666669</v>
      </c>
      <c r="BU210" t="s">
        <v>175</v>
      </c>
      <c r="BV210" t="s">
        <v>79</v>
      </c>
      <c r="BW210" t="s">
        <v>114</v>
      </c>
      <c r="BX210" t="s">
        <v>139</v>
      </c>
      <c r="BY210">
        <v>1220000</v>
      </c>
      <c r="CA210" t="s">
        <v>376</v>
      </c>
      <c r="CC210" t="s">
        <v>198</v>
      </c>
      <c r="CD210">
        <v>1200</v>
      </c>
      <c r="CE210" t="s">
        <v>80</v>
      </c>
      <c r="CF210" s="2">
        <v>44314</v>
      </c>
      <c r="CI210">
        <v>1</v>
      </c>
      <c r="CJ210">
        <v>3</v>
      </c>
      <c r="CK210" t="s">
        <v>187</v>
      </c>
      <c r="CL210" t="s">
        <v>79</v>
      </c>
    </row>
    <row r="211" spans="1:90" x14ac:dyDescent="0.25">
      <c r="A211" t="s">
        <v>211</v>
      </c>
      <c r="B211" t="s">
        <v>212</v>
      </c>
      <c r="C211" t="s">
        <v>72</v>
      </c>
      <c r="E211" t="str">
        <f>"009940956586"</f>
        <v>009940956586</v>
      </c>
      <c r="F211" s="2">
        <v>44309</v>
      </c>
      <c r="G211">
        <v>202110</v>
      </c>
      <c r="H211" t="s">
        <v>182</v>
      </c>
      <c r="I211" t="s">
        <v>183</v>
      </c>
      <c r="J211" t="s">
        <v>213</v>
      </c>
      <c r="K211" t="s">
        <v>73</v>
      </c>
      <c r="L211" t="s">
        <v>108</v>
      </c>
      <c r="M211" t="s">
        <v>109</v>
      </c>
      <c r="N211" t="s">
        <v>497</v>
      </c>
      <c r="O211" t="s">
        <v>100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60.26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7</v>
      </c>
      <c r="BI211">
        <v>76.599999999999994</v>
      </c>
      <c r="BJ211">
        <v>48.3</v>
      </c>
      <c r="BK211">
        <v>77</v>
      </c>
      <c r="BL211">
        <v>321.7</v>
      </c>
      <c r="BM211">
        <v>48.26</v>
      </c>
      <c r="BN211">
        <v>369.96</v>
      </c>
      <c r="BO211">
        <v>369.96</v>
      </c>
      <c r="BQ211" t="s">
        <v>355</v>
      </c>
      <c r="BR211" t="s">
        <v>447</v>
      </c>
      <c r="BS211" s="2">
        <v>44312</v>
      </c>
      <c r="BT211" s="3">
        <v>0.38819444444444445</v>
      </c>
      <c r="BU211" t="s">
        <v>244</v>
      </c>
      <c r="BV211" t="s">
        <v>90</v>
      </c>
      <c r="BY211">
        <v>174431.03</v>
      </c>
      <c r="CA211" t="s">
        <v>158</v>
      </c>
      <c r="CC211" t="s">
        <v>109</v>
      </c>
      <c r="CD211">
        <v>299</v>
      </c>
      <c r="CE211" t="s">
        <v>80</v>
      </c>
      <c r="CF211" s="2">
        <v>44312</v>
      </c>
      <c r="CI211">
        <v>1</v>
      </c>
      <c r="CJ211">
        <v>1</v>
      </c>
      <c r="CK211" t="s">
        <v>168</v>
      </c>
      <c r="CL211" t="s">
        <v>79</v>
      </c>
    </row>
    <row r="212" spans="1:90" x14ac:dyDescent="0.25">
      <c r="A212" t="s">
        <v>211</v>
      </c>
      <c r="B212" t="s">
        <v>212</v>
      </c>
      <c r="C212" t="s">
        <v>72</v>
      </c>
      <c r="E212" t="str">
        <f>"009940956598"</f>
        <v>009940956598</v>
      </c>
      <c r="F212" s="2">
        <v>44309</v>
      </c>
      <c r="G212">
        <v>202110</v>
      </c>
      <c r="H212" t="s">
        <v>182</v>
      </c>
      <c r="I212" t="s">
        <v>183</v>
      </c>
      <c r="J212" t="s">
        <v>213</v>
      </c>
      <c r="K212" t="s">
        <v>73</v>
      </c>
      <c r="L212" t="s">
        <v>108</v>
      </c>
      <c r="M212" t="s">
        <v>109</v>
      </c>
      <c r="N212" t="s">
        <v>354</v>
      </c>
      <c r="O212" t="s">
        <v>100</v>
      </c>
      <c r="P212" t="str">
        <f>"FIELD SERVICE                 "</f>
        <v xml:space="preserve">FIELD SERVICE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18.45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101.95</v>
      </c>
      <c r="BM212">
        <v>15.29</v>
      </c>
      <c r="BN212">
        <v>117.24</v>
      </c>
      <c r="BO212">
        <v>117.24</v>
      </c>
      <c r="BQ212" t="s">
        <v>355</v>
      </c>
      <c r="BR212" t="s">
        <v>447</v>
      </c>
      <c r="BS212" s="2">
        <v>44312</v>
      </c>
      <c r="BT212" s="3">
        <v>0.38819444444444445</v>
      </c>
      <c r="BU212" t="s">
        <v>244</v>
      </c>
      <c r="BV212" t="s">
        <v>90</v>
      </c>
      <c r="BY212">
        <v>1200</v>
      </c>
      <c r="CA212" t="s">
        <v>158</v>
      </c>
      <c r="CC212" t="s">
        <v>109</v>
      </c>
      <c r="CD212">
        <v>299</v>
      </c>
      <c r="CE212" t="s">
        <v>80</v>
      </c>
      <c r="CF212" s="2">
        <v>44312</v>
      </c>
      <c r="CI212">
        <v>1</v>
      </c>
      <c r="CJ212">
        <v>1</v>
      </c>
      <c r="CK212" t="s">
        <v>168</v>
      </c>
      <c r="CL212" t="s">
        <v>79</v>
      </c>
    </row>
    <row r="213" spans="1:90" x14ac:dyDescent="0.25">
      <c r="A213" t="s">
        <v>211</v>
      </c>
      <c r="B213" t="s">
        <v>212</v>
      </c>
      <c r="C213" t="s">
        <v>72</v>
      </c>
      <c r="E213" t="str">
        <f>"009939616556"</f>
        <v>009939616556</v>
      </c>
      <c r="F213" s="2">
        <v>44312</v>
      </c>
      <c r="G213">
        <v>202110</v>
      </c>
      <c r="H213" t="s">
        <v>182</v>
      </c>
      <c r="I213" t="s">
        <v>183</v>
      </c>
      <c r="J213" t="s">
        <v>213</v>
      </c>
      <c r="K213" t="s">
        <v>73</v>
      </c>
      <c r="L213" t="s">
        <v>269</v>
      </c>
      <c r="M213" t="s">
        <v>270</v>
      </c>
      <c r="N213" t="s">
        <v>249</v>
      </c>
      <c r="O213" t="s">
        <v>100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23.98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2</v>
      </c>
      <c r="BJ213">
        <v>3.5</v>
      </c>
      <c r="BK213">
        <v>4</v>
      </c>
      <c r="BL213">
        <v>131.04</v>
      </c>
      <c r="BM213">
        <v>19.66</v>
      </c>
      <c r="BN213">
        <v>150.69999999999999</v>
      </c>
      <c r="BO213">
        <v>150.69999999999999</v>
      </c>
      <c r="BQ213" t="s">
        <v>498</v>
      </c>
      <c r="BR213" t="s">
        <v>103</v>
      </c>
      <c r="BS213" t="s">
        <v>77</v>
      </c>
      <c r="BY213">
        <v>17289.18</v>
      </c>
      <c r="CC213" t="s">
        <v>270</v>
      </c>
      <c r="CD213">
        <v>5319</v>
      </c>
      <c r="CE213" t="s">
        <v>80</v>
      </c>
      <c r="CI213">
        <v>4</v>
      </c>
      <c r="CJ213" t="s">
        <v>77</v>
      </c>
      <c r="CK213" t="s">
        <v>217</v>
      </c>
      <c r="CL213" t="s">
        <v>79</v>
      </c>
    </row>
    <row r="214" spans="1:90" x14ac:dyDescent="0.25">
      <c r="A214" t="s">
        <v>211</v>
      </c>
      <c r="B214" t="s">
        <v>212</v>
      </c>
      <c r="C214" t="s">
        <v>72</v>
      </c>
      <c r="E214" t="str">
        <f>"009940350127"</f>
        <v>009940350127</v>
      </c>
      <c r="F214" s="2">
        <v>44312</v>
      </c>
      <c r="G214">
        <v>202110</v>
      </c>
      <c r="H214" t="s">
        <v>182</v>
      </c>
      <c r="I214" t="s">
        <v>183</v>
      </c>
      <c r="J214" t="s">
        <v>213</v>
      </c>
      <c r="K214" t="s">
        <v>73</v>
      </c>
      <c r="L214" t="s">
        <v>119</v>
      </c>
      <c r="M214" t="s">
        <v>120</v>
      </c>
      <c r="N214" t="s">
        <v>499</v>
      </c>
      <c r="O214" t="s">
        <v>76</v>
      </c>
      <c r="P214" t="str">
        <f>"LOCKS                         "</f>
        <v xml:space="preserve">LOCKS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9.84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0.5</v>
      </c>
      <c r="BJ214">
        <v>0.2</v>
      </c>
      <c r="BK214">
        <v>0.5</v>
      </c>
      <c r="BL214">
        <v>51.71</v>
      </c>
      <c r="BM214">
        <v>7.76</v>
      </c>
      <c r="BN214">
        <v>59.47</v>
      </c>
      <c r="BO214">
        <v>59.47</v>
      </c>
      <c r="BQ214" t="s">
        <v>500</v>
      </c>
      <c r="BR214" t="s">
        <v>501</v>
      </c>
      <c r="BS214" s="2">
        <v>44315</v>
      </c>
      <c r="BT214" s="3">
        <v>0.30208333333333331</v>
      </c>
      <c r="BU214" t="s">
        <v>151</v>
      </c>
      <c r="BV214" t="s">
        <v>79</v>
      </c>
      <c r="BW214" t="s">
        <v>110</v>
      </c>
      <c r="BX214" t="s">
        <v>191</v>
      </c>
      <c r="BY214">
        <v>1200</v>
      </c>
      <c r="BZ214" t="s">
        <v>81</v>
      </c>
      <c r="CC214" t="s">
        <v>120</v>
      </c>
      <c r="CD214">
        <v>6530</v>
      </c>
      <c r="CE214" t="s">
        <v>80</v>
      </c>
      <c r="CI214">
        <v>1</v>
      </c>
      <c r="CJ214">
        <v>3</v>
      </c>
      <c r="CK214">
        <v>21</v>
      </c>
      <c r="CL214" t="s">
        <v>79</v>
      </c>
    </row>
    <row r="215" spans="1:90" x14ac:dyDescent="0.25">
      <c r="A215" t="s">
        <v>211</v>
      </c>
      <c r="B215" t="s">
        <v>212</v>
      </c>
      <c r="C215" t="s">
        <v>72</v>
      </c>
      <c r="E215" t="str">
        <f>"009940540806"</f>
        <v>009940540806</v>
      </c>
      <c r="F215" s="2">
        <v>44312</v>
      </c>
      <c r="G215">
        <v>202110</v>
      </c>
      <c r="H215" t="s">
        <v>182</v>
      </c>
      <c r="I215" t="s">
        <v>183</v>
      </c>
      <c r="J215" t="s">
        <v>213</v>
      </c>
      <c r="K215" t="s">
        <v>73</v>
      </c>
      <c r="L215" t="s">
        <v>86</v>
      </c>
      <c r="M215" t="s">
        <v>87</v>
      </c>
      <c r="N215" t="s">
        <v>249</v>
      </c>
      <c r="O215" t="s">
        <v>76</v>
      </c>
      <c r="P215" t="str">
        <f>"LOCKS                         "</f>
        <v xml:space="preserve">LOCKS 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9.84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1</v>
      </c>
      <c r="BJ215">
        <v>0.2</v>
      </c>
      <c r="BK215">
        <v>1</v>
      </c>
      <c r="BL215">
        <v>51.71</v>
      </c>
      <c r="BM215">
        <v>7.76</v>
      </c>
      <c r="BN215">
        <v>59.47</v>
      </c>
      <c r="BO215">
        <v>59.47</v>
      </c>
      <c r="BQ215" t="s">
        <v>328</v>
      </c>
      <c r="BR215" t="s">
        <v>215</v>
      </c>
      <c r="BS215" s="2">
        <v>44314</v>
      </c>
      <c r="BT215" s="3">
        <v>0.38958333333333334</v>
      </c>
      <c r="BU215" t="s">
        <v>502</v>
      </c>
      <c r="BV215" t="s">
        <v>90</v>
      </c>
      <c r="BY215">
        <v>1200</v>
      </c>
      <c r="BZ215" t="s">
        <v>81</v>
      </c>
      <c r="CA215" t="s">
        <v>112</v>
      </c>
      <c r="CC215" t="s">
        <v>87</v>
      </c>
      <c r="CD215">
        <v>4091</v>
      </c>
      <c r="CE215" t="s">
        <v>80</v>
      </c>
      <c r="CF215" s="2">
        <v>44314</v>
      </c>
      <c r="CI215">
        <v>1</v>
      </c>
      <c r="CJ215">
        <v>2</v>
      </c>
      <c r="CK215">
        <v>21</v>
      </c>
      <c r="CL215" t="s">
        <v>79</v>
      </c>
    </row>
    <row r="216" spans="1:90" x14ac:dyDescent="0.25">
      <c r="BB216">
        <v>0</v>
      </c>
      <c r="BC216">
        <v>0</v>
      </c>
      <c r="BD216">
        <v>0</v>
      </c>
      <c r="BE216">
        <v>0</v>
      </c>
      <c r="BF216">
        <v>0</v>
      </c>
    </row>
    <row r="217" spans="1:90" x14ac:dyDescent="0.25">
      <c r="BB217">
        <v>0</v>
      </c>
      <c r="BC217">
        <v>0</v>
      </c>
      <c r="BD217">
        <v>0</v>
      </c>
      <c r="BE217">
        <v>0</v>
      </c>
      <c r="BF217">
        <v>0</v>
      </c>
    </row>
    <row r="218" spans="1:90" x14ac:dyDescent="0.25">
      <c r="BB218">
        <v>0</v>
      </c>
      <c r="BC218">
        <v>0</v>
      </c>
      <c r="BD218">
        <v>0</v>
      </c>
      <c r="BE218">
        <v>0</v>
      </c>
      <c r="BF218">
        <v>0</v>
      </c>
    </row>
    <row r="219" spans="1:90" x14ac:dyDescent="0.25">
      <c r="BB219">
        <v>0</v>
      </c>
      <c r="BC219">
        <v>0</v>
      </c>
      <c r="BD219">
        <v>0</v>
      </c>
      <c r="BE219">
        <v>0</v>
      </c>
      <c r="BF219">
        <v>0</v>
      </c>
    </row>
    <row r="220" spans="1:90" x14ac:dyDescent="0.25">
      <c r="BB220">
        <v>0</v>
      </c>
      <c r="BC220">
        <v>0</v>
      </c>
      <c r="BD220">
        <v>0</v>
      </c>
      <c r="BE220">
        <v>0</v>
      </c>
      <c r="BF220">
        <v>0</v>
      </c>
    </row>
    <row r="221" spans="1:90" x14ac:dyDescent="0.25">
      <c r="BB221">
        <v>0</v>
      </c>
      <c r="BC221">
        <v>0</v>
      </c>
      <c r="BD221">
        <v>0</v>
      </c>
      <c r="BE221">
        <v>0</v>
      </c>
      <c r="BF221">
        <v>0</v>
      </c>
    </row>
    <row r="222" spans="1:90" x14ac:dyDescent="0.25">
      <c r="BB222">
        <v>0</v>
      </c>
      <c r="BC222">
        <v>0</v>
      </c>
      <c r="BD222">
        <v>0</v>
      </c>
      <c r="BE222">
        <v>0</v>
      </c>
      <c r="BF222">
        <v>0</v>
      </c>
    </row>
    <row r="223" spans="1:90" x14ac:dyDescent="0.25">
      <c r="BB223">
        <v>0</v>
      </c>
      <c r="BC223">
        <v>0</v>
      </c>
      <c r="BD223">
        <v>0</v>
      </c>
      <c r="BE223">
        <v>0</v>
      </c>
      <c r="BF223">
        <v>0</v>
      </c>
    </row>
    <row r="224" spans="1:90" x14ac:dyDescent="0.25">
      <c r="BB224">
        <v>0</v>
      </c>
      <c r="BC224">
        <v>0</v>
      </c>
      <c r="BD224">
        <v>0</v>
      </c>
      <c r="BE224">
        <v>0</v>
      </c>
      <c r="BF224">
        <v>0</v>
      </c>
    </row>
    <row r="225" spans="54:58" x14ac:dyDescent="0.25">
      <c r="BB225">
        <v>0</v>
      </c>
      <c r="BC225">
        <v>0</v>
      </c>
      <c r="BD225">
        <v>0</v>
      </c>
      <c r="BE225">
        <v>0</v>
      </c>
      <c r="BF225">
        <v>0</v>
      </c>
    </row>
    <row r="226" spans="54:58" x14ac:dyDescent="0.25">
      <c r="BB226">
        <v>0</v>
      </c>
      <c r="BC226">
        <v>0</v>
      </c>
      <c r="BD226">
        <v>0</v>
      </c>
      <c r="BE226">
        <v>0</v>
      </c>
      <c r="BF226">
        <v>0</v>
      </c>
    </row>
    <row r="227" spans="54:58" x14ac:dyDescent="0.25">
      <c r="BB227">
        <v>0</v>
      </c>
      <c r="BC227">
        <v>0</v>
      </c>
      <c r="BD227">
        <v>0</v>
      </c>
      <c r="BE227">
        <v>0</v>
      </c>
      <c r="BF227">
        <v>0</v>
      </c>
    </row>
    <row r="228" spans="54:58" x14ac:dyDescent="0.25">
      <c r="BB228">
        <v>0</v>
      </c>
      <c r="BC228">
        <v>0</v>
      </c>
      <c r="BD228">
        <v>0</v>
      </c>
      <c r="BE228">
        <v>0</v>
      </c>
      <c r="BF228">
        <v>0</v>
      </c>
    </row>
    <row r="229" spans="54:58" x14ac:dyDescent="0.25">
      <c r="BB229">
        <v>0</v>
      </c>
      <c r="BC229">
        <v>0</v>
      </c>
      <c r="BD229">
        <v>0</v>
      </c>
      <c r="BE229">
        <v>0</v>
      </c>
      <c r="BF229">
        <v>0</v>
      </c>
    </row>
    <row r="230" spans="54:58" x14ac:dyDescent="0.25">
      <c r="BB230">
        <v>0</v>
      </c>
      <c r="BC230">
        <v>0</v>
      </c>
      <c r="BD230">
        <v>0</v>
      </c>
      <c r="BE230">
        <v>0</v>
      </c>
      <c r="BF230">
        <v>0</v>
      </c>
    </row>
    <row r="231" spans="54:58" x14ac:dyDescent="0.25">
      <c r="BB231">
        <v>0</v>
      </c>
      <c r="BC231">
        <v>0</v>
      </c>
      <c r="BD231">
        <v>0</v>
      </c>
      <c r="BE231">
        <v>0</v>
      </c>
      <c r="BF231">
        <v>0</v>
      </c>
    </row>
    <row r="232" spans="54:58" x14ac:dyDescent="0.25">
      <c r="BB232">
        <v>0</v>
      </c>
      <c r="BC232">
        <v>0</v>
      </c>
      <c r="BD232">
        <v>0</v>
      </c>
      <c r="BE232">
        <v>0</v>
      </c>
      <c r="BF232">
        <v>0</v>
      </c>
    </row>
    <row r="233" spans="54:58" x14ac:dyDescent="0.25">
      <c r="BB233">
        <v>0</v>
      </c>
      <c r="BC233">
        <v>0</v>
      </c>
      <c r="BD233">
        <v>0</v>
      </c>
      <c r="BE233">
        <v>0</v>
      </c>
      <c r="BF233">
        <v>0</v>
      </c>
    </row>
    <row r="234" spans="54:58" x14ac:dyDescent="0.25">
      <c r="BB234">
        <v>0</v>
      </c>
      <c r="BC234">
        <v>0</v>
      </c>
      <c r="BD234">
        <v>0</v>
      </c>
      <c r="BE234">
        <v>0</v>
      </c>
      <c r="BF234">
        <v>0</v>
      </c>
    </row>
    <row r="235" spans="54:58" x14ac:dyDescent="0.25">
      <c r="BB235">
        <v>0</v>
      </c>
      <c r="BC235">
        <v>0</v>
      </c>
      <c r="BD235">
        <v>0</v>
      </c>
      <c r="BE235">
        <v>0</v>
      </c>
      <c r="BF235">
        <v>0</v>
      </c>
    </row>
    <row r="236" spans="54:58" x14ac:dyDescent="0.25">
      <c r="BB236">
        <v>0</v>
      </c>
      <c r="BC236">
        <v>0</v>
      </c>
      <c r="BD236">
        <v>0</v>
      </c>
      <c r="BE236">
        <v>0</v>
      </c>
      <c r="BF236">
        <v>0</v>
      </c>
    </row>
    <row r="237" spans="54:58" x14ac:dyDescent="0.25">
      <c r="BB237">
        <v>0</v>
      </c>
      <c r="BC237">
        <v>0</v>
      </c>
      <c r="BD237">
        <v>0</v>
      </c>
      <c r="BE237">
        <v>0</v>
      </c>
      <c r="BF237">
        <v>0</v>
      </c>
    </row>
    <row r="238" spans="54:58" x14ac:dyDescent="0.25">
      <c r="BB238">
        <v>0</v>
      </c>
      <c r="BC238">
        <v>0</v>
      </c>
      <c r="BD238">
        <v>0</v>
      </c>
      <c r="BE238">
        <v>0</v>
      </c>
      <c r="BF238">
        <v>0</v>
      </c>
    </row>
    <row r="239" spans="54:58" x14ac:dyDescent="0.25">
      <c r="BB239">
        <v>0</v>
      </c>
      <c r="BC239">
        <v>0</v>
      </c>
      <c r="BD239">
        <v>0</v>
      </c>
      <c r="BE239">
        <v>0</v>
      </c>
      <c r="BF239">
        <v>0</v>
      </c>
    </row>
    <row r="240" spans="54:58" x14ac:dyDescent="0.25">
      <c r="BB240">
        <v>0</v>
      </c>
      <c r="BC240">
        <v>0</v>
      </c>
      <c r="BD240">
        <v>0</v>
      </c>
      <c r="BE240">
        <v>0</v>
      </c>
      <c r="BF240">
        <v>0</v>
      </c>
    </row>
    <row r="241" spans="54:58" x14ac:dyDescent="0.25">
      <c r="BB241">
        <v>0</v>
      </c>
      <c r="BC241">
        <v>0</v>
      </c>
      <c r="BD241">
        <v>0</v>
      </c>
      <c r="BE241">
        <v>0</v>
      </c>
      <c r="BF241">
        <v>0</v>
      </c>
    </row>
    <row r="242" spans="54:58" x14ac:dyDescent="0.25">
      <c r="BB242">
        <v>0</v>
      </c>
      <c r="BC242">
        <v>0</v>
      </c>
      <c r="BD242">
        <v>0</v>
      </c>
      <c r="BE242">
        <v>0</v>
      </c>
      <c r="BF242">
        <v>0</v>
      </c>
    </row>
    <row r="243" spans="54:58" x14ac:dyDescent="0.25">
      <c r="BB243">
        <v>0</v>
      </c>
      <c r="BC243">
        <v>0</v>
      </c>
      <c r="BD243">
        <v>0</v>
      </c>
      <c r="BE243">
        <v>0</v>
      </c>
      <c r="BF243">
        <v>0</v>
      </c>
    </row>
    <row r="244" spans="54:58" x14ac:dyDescent="0.25">
      <c r="BB244">
        <v>0</v>
      </c>
      <c r="BC244">
        <v>0</v>
      </c>
      <c r="BD244">
        <v>0</v>
      </c>
      <c r="BE244">
        <v>0</v>
      </c>
      <c r="BF244">
        <v>0</v>
      </c>
    </row>
    <row r="245" spans="54:58" x14ac:dyDescent="0.25">
      <c r="BB245">
        <v>0</v>
      </c>
      <c r="BC245">
        <v>0</v>
      </c>
      <c r="BD245">
        <v>0</v>
      </c>
      <c r="BE245">
        <v>0</v>
      </c>
      <c r="BF245">
        <v>0</v>
      </c>
    </row>
    <row r="246" spans="54:58" x14ac:dyDescent="0.25">
      <c r="BB246">
        <v>0</v>
      </c>
      <c r="BC246">
        <v>0</v>
      </c>
      <c r="BD246">
        <v>0</v>
      </c>
      <c r="BE246">
        <v>0</v>
      </c>
      <c r="BF246">
        <v>0</v>
      </c>
    </row>
    <row r="247" spans="54:58" x14ac:dyDescent="0.25">
      <c r="BB247">
        <v>0</v>
      </c>
      <c r="BC247">
        <v>0</v>
      </c>
      <c r="BD247">
        <v>0</v>
      </c>
      <c r="BE247">
        <v>0</v>
      </c>
      <c r="BF247">
        <v>0</v>
      </c>
    </row>
    <row r="248" spans="54:58" x14ac:dyDescent="0.25">
      <c r="BB248">
        <v>0</v>
      </c>
      <c r="BC248">
        <v>0</v>
      </c>
      <c r="BD248">
        <v>0</v>
      </c>
      <c r="BE248">
        <v>0</v>
      </c>
      <c r="BF248">
        <v>0</v>
      </c>
    </row>
    <row r="249" spans="54:58" x14ac:dyDescent="0.25">
      <c r="BB249">
        <v>0</v>
      </c>
      <c r="BC249">
        <v>0</v>
      </c>
      <c r="BD249">
        <v>0</v>
      </c>
      <c r="BE249">
        <v>0</v>
      </c>
      <c r="BF249">
        <v>0</v>
      </c>
    </row>
    <row r="250" spans="54:58" x14ac:dyDescent="0.25">
      <c r="BB250">
        <v>0</v>
      </c>
      <c r="BC250">
        <v>0</v>
      </c>
      <c r="BD250">
        <v>0</v>
      </c>
      <c r="BE250">
        <v>0</v>
      </c>
      <c r="BF250">
        <v>0</v>
      </c>
    </row>
    <row r="251" spans="54:58" x14ac:dyDescent="0.25">
      <c r="BB251">
        <v>0</v>
      </c>
      <c r="BC251">
        <v>0</v>
      </c>
      <c r="BD251">
        <v>0</v>
      </c>
      <c r="BE251">
        <v>0</v>
      </c>
      <c r="BF251">
        <v>0</v>
      </c>
    </row>
    <row r="252" spans="54:58" x14ac:dyDescent="0.25">
      <c r="BB252">
        <v>0</v>
      </c>
      <c r="BC252">
        <v>0</v>
      </c>
      <c r="BD252">
        <v>0</v>
      </c>
      <c r="BE252">
        <v>0</v>
      </c>
      <c r="BF252">
        <v>0</v>
      </c>
    </row>
    <row r="253" spans="54:58" x14ac:dyDescent="0.25">
      <c r="BB253">
        <v>0</v>
      </c>
      <c r="BC253">
        <v>0</v>
      </c>
      <c r="BD253">
        <v>0</v>
      </c>
      <c r="BE253">
        <v>0</v>
      </c>
      <c r="BF253">
        <v>0</v>
      </c>
    </row>
    <row r="254" spans="54:58" x14ac:dyDescent="0.25">
      <c r="BB254">
        <v>0</v>
      </c>
      <c r="BC254">
        <v>0</v>
      </c>
      <c r="BD254">
        <v>0</v>
      </c>
      <c r="BE254">
        <v>0</v>
      </c>
      <c r="BF254">
        <v>0</v>
      </c>
    </row>
    <row r="255" spans="54:58" x14ac:dyDescent="0.25">
      <c r="BB255">
        <v>0</v>
      </c>
      <c r="BC255">
        <v>0</v>
      </c>
      <c r="BD255">
        <v>0</v>
      </c>
      <c r="BE255">
        <v>0</v>
      </c>
      <c r="BF255">
        <v>0</v>
      </c>
    </row>
    <row r="256" spans="54:58" x14ac:dyDescent="0.25">
      <c r="BB256">
        <v>0</v>
      </c>
      <c r="BC256">
        <v>0</v>
      </c>
      <c r="BD256">
        <v>0</v>
      </c>
      <c r="BE256">
        <v>0</v>
      </c>
      <c r="BF256">
        <v>0</v>
      </c>
    </row>
    <row r="257" spans="54:58" x14ac:dyDescent="0.25">
      <c r="BB257">
        <v>0</v>
      </c>
      <c r="BC257">
        <v>0</v>
      </c>
      <c r="BD257">
        <v>0</v>
      </c>
      <c r="BE257">
        <v>0</v>
      </c>
      <c r="BF257">
        <v>0</v>
      </c>
    </row>
    <row r="258" spans="54:58" x14ac:dyDescent="0.25">
      <c r="BB258">
        <v>0</v>
      </c>
      <c r="BC258">
        <v>0</v>
      </c>
      <c r="BD258">
        <v>0</v>
      </c>
      <c r="BE258">
        <v>0</v>
      </c>
      <c r="BF258">
        <v>0</v>
      </c>
    </row>
    <row r="259" spans="54:58" x14ac:dyDescent="0.25">
      <c r="BB259">
        <v>0</v>
      </c>
      <c r="BC259">
        <v>0</v>
      </c>
      <c r="BD259">
        <v>0</v>
      </c>
      <c r="BE259">
        <v>0</v>
      </c>
      <c r="BF259">
        <v>0</v>
      </c>
    </row>
    <row r="260" spans="54:58" x14ac:dyDescent="0.25">
      <c r="BB260">
        <v>0</v>
      </c>
      <c r="BC260">
        <v>0</v>
      </c>
      <c r="BD260">
        <v>0</v>
      </c>
      <c r="BE260">
        <v>0</v>
      </c>
      <c r="BF260">
        <v>0</v>
      </c>
    </row>
    <row r="261" spans="54:58" x14ac:dyDescent="0.25">
      <c r="BB261">
        <v>0</v>
      </c>
      <c r="BC261">
        <v>0</v>
      </c>
      <c r="BD261">
        <v>0</v>
      </c>
      <c r="BE261">
        <v>0</v>
      </c>
      <c r="BF261">
        <v>0</v>
      </c>
    </row>
    <row r="262" spans="54:58" x14ac:dyDescent="0.25">
      <c r="BB262">
        <v>0</v>
      </c>
      <c r="BC262">
        <v>0</v>
      </c>
      <c r="BD262">
        <v>0</v>
      </c>
      <c r="BE262">
        <v>0</v>
      </c>
      <c r="BF262">
        <v>0</v>
      </c>
    </row>
    <row r="263" spans="54:58" x14ac:dyDescent="0.25">
      <c r="BB263">
        <v>0</v>
      </c>
      <c r="BC263">
        <v>0</v>
      </c>
      <c r="BD263">
        <v>0</v>
      </c>
      <c r="BE263">
        <v>0</v>
      </c>
      <c r="BF263">
        <v>0</v>
      </c>
    </row>
    <row r="264" spans="54:58" x14ac:dyDescent="0.25">
      <c r="BB264">
        <v>0</v>
      </c>
      <c r="BC264">
        <v>0</v>
      </c>
      <c r="BD264">
        <v>0</v>
      </c>
      <c r="BE264">
        <v>0</v>
      </c>
      <c r="BF264">
        <v>0</v>
      </c>
    </row>
    <row r="265" spans="54:58" x14ac:dyDescent="0.25">
      <c r="BB265">
        <v>0</v>
      </c>
      <c r="BC265">
        <v>0</v>
      </c>
      <c r="BD265">
        <v>0</v>
      </c>
      <c r="BE265">
        <v>0</v>
      </c>
      <c r="BF265">
        <v>0</v>
      </c>
    </row>
    <row r="266" spans="54:58" x14ac:dyDescent="0.25">
      <c r="BB266">
        <v>0</v>
      </c>
      <c r="BC266">
        <v>0</v>
      </c>
      <c r="BD266">
        <v>0</v>
      </c>
      <c r="BE266">
        <v>0</v>
      </c>
      <c r="BF266">
        <v>0</v>
      </c>
    </row>
    <row r="267" spans="54:58" x14ac:dyDescent="0.25">
      <c r="BB267">
        <v>0</v>
      </c>
      <c r="BC267">
        <v>0</v>
      </c>
      <c r="BD267">
        <v>0</v>
      </c>
      <c r="BE267">
        <v>0</v>
      </c>
      <c r="BF267">
        <v>0</v>
      </c>
    </row>
    <row r="268" spans="54:58" x14ac:dyDescent="0.25">
      <c r="BB268">
        <v>0</v>
      </c>
      <c r="BC268">
        <v>0</v>
      </c>
      <c r="BD268">
        <v>0</v>
      </c>
      <c r="BE268">
        <v>0</v>
      </c>
      <c r="BF268">
        <v>0</v>
      </c>
    </row>
    <row r="269" spans="54:58" x14ac:dyDescent="0.25">
      <c r="BB269">
        <v>0</v>
      </c>
      <c r="BC269">
        <v>0</v>
      </c>
      <c r="BD269">
        <v>0</v>
      </c>
      <c r="BE269">
        <v>0</v>
      </c>
      <c r="BF269">
        <v>0</v>
      </c>
    </row>
    <row r="270" spans="54:58" x14ac:dyDescent="0.25">
      <c r="BB270">
        <v>0</v>
      </c>
      <c r="BC270">
        <v>0</v>
      </c>
      <c r="BD270">
        <v>0</v>
      </c>
      <c r="BE270">
        <v>0</v>
      </c>
      <c r="BF270">
        <v>0</v>
      </c>
    </row>
    <row r="271" spans="54:58" x14ac:dyDescent="0.25">
      <c r="BB271">
        <v>0</v>
      </c>
      <c r="BC271">
        <v>0</v>
      </c>
      <c r="BD271">
        <v>0</v>
      </c>
      <c r="BE271">
        <v>0</v>
      </c>
      <c r="BF271">
        <v>0</v>
      </c>
    </row>
    <row r="272" spans="54:58" x14ac:dyDescent="0.25">
      <c r="BB272">
        <v>0</v>
      </c>
      <c r="BC272">
        <v>0</v>
      </c>
      <c r="BD272">
        <v>0</v>
      </c>
      <c r="BE272">
        <v>0</v>
      </c>
      <c r="BF272">
        <v>0</v>
      </c>
    </row>
    <row r="273" spans="54:58" x14ac:dyDescent="0.25">
      <c r="BB273">
        <v>0</v>
      </c>
      <c r="BC273">
        <v>0</v>
      </c>
      <c r="BD273">
        <v>0</v>
      </c>
      <c r="BE273">
        <v>0</v>
      </c>
      <c r="BF273">
        <v>0</v>
      </c>
    </row>
    <row r="274" spans="54:58" x14ac:dyDescent="0.25">
      <c r="BB274">
        <v>0</v>
      </c>
      <c r="BC274">
        <v>0</v>
      </c>
      <c r="BD274">
        <v>0</v>
      </c>
      <c r="BE274">
        <v>0</v>
      </c>
      <c r="BF274">
        <v>0</v>
      </c>
    </row>
    <row r="275" spans="54:58" x14ac:dyDescent="0.25">
      <c r="BB275">
        <v>0</v>
      </c>
      <c r="BC275">
        <v>0</v>
      </c>
      <c r="BD275">
        <v>0</v>
      </c>
      <c r="BE275">
        <v>0</v>
      </c>
      <c r="BF275">
        <v>0</v>
      </c>
    </row>
    <row r="276" spans="54:58" x14ac:dyDescent="0.25">
      <c r="BB276">
        <v>0</v>
      </c>
      <c r="BC276">
        <v>0</v>
      </c>
      <c r="BD276">
        <v>0</v>
      </c>
      <c r="BE276">
        <v>0</v>
      </c>
      <c r="BF276">
        <v>0</v>
      </c>
    </row>
    <row r="277" spans="54:58" x14ac:dyDescent="0.25">
      <c r="BB277">
        <v>0</v>
      </c>
      <c r="BC277">
        <v>0</v>
      </c>
      <c r="BD277">
        <v>0</v>
      </c>
      <c r="BE277">
        <v>0</v>
      </c>
      <c r="BF277">
        <v>0</v>
      </c>
    </row>
    <row r="278" spans="54:58" x14ac:dyDescent="0.25">
      <c r="BB278">
        <v>0</v>
      </c>
      <c r="BC278">
        <v>0</v>
      </c>
      <c r="BD278">
        <v>0</v>
      </c>
      <c r="BE278">
        <v>0</v>
      </c>
      <c r="BF278">
        <v>0</v>
      </c>
    </row>
    <row r="279" spans="54:58" x14ac:dyDescent="0.25">
      <c r="BB279">
        <v>0</v>
      </c>
      <c r="BC279">
        <v>0</v>
      </c>
      <c r="BD279">
        <v>0</v>
      </c>
      <c r="BE279">
        <v>0</v>
      </c>
      <c r="BF279">
        <v>0</v>
      </c>
    </row>
    <row r="280" spans="54:58" x14ac:dyDescent="0.25">
      <c r="BB280">
        <v>0</v>
      </c>
      <c r="BC280">
        <v>0</v>
      </c>
      <c r="BD280">
        <v>0</v>
      </c>
      <c r="BE280">
        <v>0</v>
      </c>
      <c r="BF280">
        <v>0</v>
      </c>
    </row>
    <row r="281" spans="54:58" x14ac:dyDescent="0.25">
      <c r="BB281">
        <v>0</v>
      </c>
      <c r="BC281">
        <v>0</v>
      </c>
      <c r="BD281">
        <v>0</v>
      </c>
      <c r="BE281">
        <v>0</v>
      </c>
      <c r="BF281">
        <v>0</v>
      </c>
    </row>
    <row r="282" spans="54:58" x14ac:dyDescent="0.25">
      <c r="BB282">
        <v>0</v>
      </c>
      <c r="BC282">
        <v>0</v>
      </c>
      <c r="BD282">
        <v>0</v>
      </c>
      <c r="BE282">
        <v>0</v>
      </c>
      <c r="BF282">
        <v>0</v>
      </c>
    </row>
    <row r="283" spans="54:58" x14ac:dyDescent="0.25">
      <c r="BB283">
        <v>0</v>
      </c>
      <c r="BC283">
        <v>0</v>
      </c>
      <c r="BD283">
        <v>0</v>
      </c>
      <c r="BE283">
        <v>0</v>
      </c>
      <c r="BF283">
        <v>0</v>
      </c>
    </row>
    <row r="284" spans="54:58" x14ac:dyDescent="0.25">
      <c r="BB284">
        <v>0</v>
      </c>
      <c r="BC284">
        <v>0</v>
      </c>
      <c r="BD284">
        <v>0</v>
      </c>
      <c r="BE284">
        <v>0</v>
      </c>
      <c r="BF284">
        <v>0</v>
      </c>
    </row>
    <row r="285" spans="54:58" x14ac:dyDescent="0.25">
      <c r="BB285">
        <v>0</v>
      </c>
      <c r="BC285">
        <v>0</v>
      </c>
      <c r="BD285">
        <v>0</v>
      </c>
      <c r="BE285">
        <v>0</v>
      </c>
      <c r="BF285">
        <v>0</v>
      </c>
    </row>
    <row r="286" spans="54:58" x14ac:dyDescent="0.25">
      <c r="BB286">
        <v>0</v>
      </c>
      <c r="BC286">
        <v>0</v>
      </c>
      <c r="BD286">
        <v>0</v>
      </c>
      <c r="BE286">
        <v>0</v>
      </c>
      <c r="BF286">
        <v>0</v>
      </c>
    </row>
    <row r="287" spans="54:58" x14ac:dyDescent="0.25">
      <c r="BB287">
        <v>0</v>
      </c>
      <c r="BC287">
        <v>0</v>
      </c>
      <c r="BD287">
        <v>0</v>
      </c>
      <c r="BE287">
        <v>0</v>
      </c>
      <c r="BF287">
        <v>0</v>
      </c>
    </row>
    <row r="288" spans="54:58" x14ac:dyDescent="0.25">
      <c r="BB288">
        <v>0</v>
      </c>
      <c r="BC288">
        <v>0</v>
      </c>
      <c r="BD288">
        <v>0</v>
      </c>
      <c r="BE288">
        <v>0</v>
      </c>
      <c r="BF288">
        <v>0</v>
      </c>
    </row>
    <row r="289" spans="54:58" x14ac:dyDescent="0.25">
      <c r="BB289">
        <v>0</v>
      </c>
      <c r="BC289">
        <v>0</v>
      </c>
      <c r="BD289">
        <v>0</v>
      </c>
      <c r="BE289">
        <v>0</v>
      </c>
      <c r="BF289">
        <v>0</v>
      </c>
    </row>
    <row r="290" spans="54:58" x14ac:dyDescent="0.25">
      <c r="BB290">
        <v>0</v>
      </c>
      <c r="BC290">
        <v>0</v>
      </c>
      <c r="BD290">
        <v>0</v>
      </c>
      <c r="BE290">
        <v>0</v>
      </c>
      <c r="BF290">
        <v>0</v>
      </c>
    </row>
    <row r="291" spans="54:58" x14ac:dyDescent="0.25">
      <c r="BB291">
        <v>0</v>
      </c>
      <c r="BC291">
        <v>0</v>
      </c>
      <c r="BD291">
        <v>0</v>
      </c>
      <c r="BE291">
        <v>0</v>
      </c>
      <c r="BF291">
        <v>0</v>
      </c>
    </row>
    <row r="292" spans="54:58" x14ac:dyDescent="0.25">
      <c r="BB292">
        <v>0</v>
      </c>
      <c r="BC292">
        <v>0</v>
      </c>
      <c r="BD292">
        <v>0</v>
      </c>
      <c r="BE292">
        <v>0</v>
      </c>
      <c r="BF292">
        <v>0</v>
      </c>
    </row>
    <row r="293" spans="54:58" x14ac:dyDescent="0.25">
      <c r="BB293">
        <v>0</v>
      </c>
      <c r="BC293">
        <v>0</v>
      </c>
      <c r="BD293">
        <v>0</v>
      </c>
      <c r="BE293">
        <v>0</v>
      </c>
      <c r="BF293">
        <v>0</v>
      </c>
    </row>
    <row r="294" spans="54:58" x14ac:dyDescent="0.25">
      <c r="BB294">
        <v>0</v>
      </c>
      <c r="BC294">
        <v>0</v>
      </c>
      <c r="BD294">
        <v>0</v>
      </c>
      <c r="BE294">
        <v>0</v>
      </c>
      <c r="BF294">
        <v>0</v>
      </c>
    </row>
    <row r="295" spans="54:58" x14ac:dyDescent="0.25">
      <c r="BB295">
        <v>0</v>
      </c>
      <c r="BC295">
        <v>0</v>
      </c>
      <c r="BD295">
        <v>0</v>
      </c>
      <c r="BE295">
        <v>0</v>
      </c>
      <c r="BF295">
        <v>0</v>
      </c>
    </row>
    <row r="296" spans="54:58" x14ac:dyDescent="0.25">
      <c r="BB296">
        <v>0</v>
      </c>
      <c r="BC296">
        <v>0</v>
      </c>
      <c r="BD296">
        <v>0</v>
      </c>
      <c r="BE296">
        <v>0</v>
      </c>
      <c r="BF296">
        <v>0</v>
      </c>
    </row>
    <row r="297" spans="54:58" x14ac:dyDescent="0.25">
      <c r="BB297">
        <v>0</v>
      </c>
      <c r="BC297">
        <v>0</v>
      </c>
      <c r="BD297">
        <v>0</v>
      </c>
      <c r="BE297">
        <v>0</v>
      </c>
      <c r="BF297">
        <v>0</v>
      </c>
    </row>
    <row r="298" spans="54:58" x14ac:dyDescent="0.25">
      <c r="BB298">
        <v>0</v>
      </c>
      <c r="BC298">
        <v>0</v>
      </c>
      <c r="BD298">
        <v>0</v>
      </c>
      <c r="BE298">
        <v>0</v>
      </c>
      <c r="BF298">
        <v>0</v>
      </c>
    </row>
    <row r="299" spans="54:58" x14ac:dyDescent="0.25">
      <c r="BB299">
        <v>0</v>
      </c>
      <c r="BC299">
        <v>0</v>
      </c>
      <c r="BD299">
        <v>0</v>
      </c>
      <c r="BE299">
        <v>0</v>
      </c>
      <c r="BF299">
        <v>0</v>
      </c>
    </row>
    <row r="300" spans="54:58" x14ac:dyDescent="0.25">
      <c r="BB300">
        <v>0</v>
      </c>
      <c r="BC300">
        <v>0</v>
      </c>
      <c r="BD300">
        <v>0</v>
      </c>
      <c r="BE300">
        <v>0</v>
      </c>
      <c r="BF300">
        <v>0</v>
      </c>
    </row>
    <row r="301" spans="54:58" x14ac:dyDescent="0.25">
      <c r="BB301">
        <v>0</v>
      </c>
      <c r="BC301">
        <v>0</v>
      </c>
      <c r="BD301">
        <v>0</v>
      </c>
      <c r="BE301">
        <v>0</v>
      </c>
      <c r="BF301">
        <v>0</v>
      </c>
    </row>
    <row r="302" spans="54:58" x14ac:dyDescent="0.25">
      <c r="BB302">
        <v>0</v>
      </c>
      <c r="BC302">
        <v>0</v>
      </c>
      <c r="BD302">
        <v>0</v>
      </c>
      <c r="BE302">
        <v>0</v>
      </c>
      <c r="BF302">
        <v>0</v>
      </c>
    </row>
    <row r="303" spans="54:58" x14ac:dyDescent="0.25">
      <c r="BB303">
        <v>0</v>
      </c>
      <c r="BC303">
        <v>0</v>
      </c>
      <c r="BD303">
        <v>0</v>
      </c>
      <c r="BE303">
        <v>0</v>
      </c>
      <c r="BF303">
        <v>0</v>
      </c>
    </row>
    <row r="304" spans="54:58" x14ac:dyDescent="0.25">
      <c r="BB304">
        <v>0</v>
      </c>
      <c r="BC304">
        <v>0</v>
      </c>
      <c r="BD304">
        <v>0</v>
      </c>
      <c r="BE304">
        <v>0</v>
      </c>
      <c r="BF304">
        <v>0</v>
      </c>
    </row>
    <row r="305" spans="54:58" x14ac:dyDescent="0.25">
      <c r="BB305">
        <v>0</v>
      </c>
      <c r="BC305">
        <v>0</v>
      </c>
      <c r="BD305">
        <v>0</v>
      </c>
      <c r="BE305">
        <v>0</v>
      </c>
      <c r="BF305">
        <v>0</v>
      </c>
    </row>
    <row r="306" spans="54:58" x14ac:dyDescent="0.25">
      <c r="BB306">
        <v>0</v>
      </c>
      <c r="BC306">
        <v>0</v>
      </c>
      <c r="BD306">
        <v>0</v>
      </c>
      <c r="BE306">
        <v>0</v>
      </c>
      <c r="BF306">
        <v>0</v>
      </c>
    </row>
    <row r="307" spans="54:58" x14ac:dyDescent="0.25">
      <c r="BB307">
        <v>0</v>
      </c>
      <c r="BC307">
        <v>0</v>
      </c>
      <c r="BD307">
        <v>0</v>
      </c>
      <c r="BE307">
        <v>0</v>
      </c>
      <c r="BF307">
        <v>0</v>
      </c>
    </row>
    <row r="308" spans="54:58" x14ac:dyDescent="0.25">
      <c r="BB308">
        <v>0</v>
      </c>
      <c r="BC308">
        <v>0</v>
      </c>
      <c r="BD308">
        <v>0</v>
      </c>
      <c r="BE308">
        <v>0</v>
      </c>
      <c r="BF308">
        <v>0</v>
      </c>
    </row>
    <row r="309" spans="54:58" x14ac:dyDescent="0.25">
      <c r="BB309">
        <v>0</v>
      </c>
      <c r="BC309">
        <v>0</v>
      </c>
      <c r="BD309">
        <v>0</v>
      </c>
      <c r="BE309">
        <v>0</v>
      </c>
      <c r="BF309">
        <v>0</v>
      </c>
    </row>
    <row r="310" spans="54:58" x14ac:dyDescent="0.25">
      <c r="BB310">
        <v>0</v>
      </c>
      <c r="BC310">
        <v>0</v>
      </c>
      <c r="BD310">
        <v>0</v>
      </c>
      <c r="BE310">
        <v>0</v>
      </c>
      <c r="BF310">
        <v>0</v>
      </c>
    </row>
    <row r="311" spans="54:58" x14ac:dyDescent="0.25">
      <c r="BB311">
        <v>0</v>
      </c>
      <c r="BC311">
        <v>0</v>
      </c>
      <c r="BD311">
        <v>0</v>
      </c>
      <c r="BE311">
        <v>0</v>
      </c>
      <c r="BF311">
        <v>0</v>
      </c>
    </row>
    <row r="312" spans="54:58" x14ac:dyDescent="0.25">
      <c r="BB312">
        <v>0</v>
      </c>
      <c r="BC312">
        <v>0</v>
      </c>
      <c r="BD312">
        <v>0</v>
      </c>
      <c r="BE312">
        <v>0</v>
      </c>
      <c r="BF312">
        <v>0</v>
      </c>
    </row>
    <row r="313" spans="54:58" x14ac:dyDescent="0.25">
      <c r="BB313">
        <v>0</v>
      </c>
      <c r="BC313">
        <v>0</v>
      </c>
      <c r="BD313">
        <v>0</v>
      </c>
      <c r="BE313">
        <v>0</v>
      </c>
      <c r="BF313">
        <v>0</v>
      </c>
    </row>
    <row r="314" spans="54:58" x14ac:dyDescent="0.25">
      <c r="BB314">
        <v>0</v>
      </c>
      <c r="BC314">
        <v>0</v>
      </c>
      <c r="BD314">
        <v>0</v>
      </c>
      <c r="BE314">
        <v>0</v>
      </c>
      <c r="BF314">
        <v>0</v>
      </c>
    </row>
    <row r="315" spans="54:58" x14ac:dyDescent="0.25">
      <c r="BB315">
        <v>0</v>
      </c>
      <c r="BC315">
        <v>0</v>
      </c>
      <c r="BD315">
        <v>0</v>
      </c>
      <c r="BE315">
        <v>0</v>
      </c>
      <c r="BF315">
        <v>0</v>
      </c>
    </row>
    <row r="316" spans="54:58" x14ac:dyDescent="0.25">
      <c r="BB316">
        <v>0</v>
      </c>
      <c r="BC316">
        <v>0</v>
      </c>
      <c r="BD316">
        <v>0</v>
      </c>
      <c r="BE316">
        <v>0</v>
      </c>
      <c r="BF316">
        <v>0</v>
      </c>
    </row>
    <row r="317" spans="54:58" x14ac:dyDescent="0.25">
      <c r="BB317">
        <v>0</v>
      </c>
      <c r="BC317">
        <v>0</v>
      </c>
      <c r="BD317">
        <v>0</v>
      </c>
      <c r="BE317">
        <v>0</v>
      </c>
      <c r="BF317">
        <v>0</v>
      </c>
    </row>
    <row r="318" spans="54:58" x14ac:dyDescent="0.25">
      <c r="BB318">
        <v>0</v>
      </c>
      <c r="BC318">
        <v>0</v>
      </c>
      <c r="BD318">
        <v>0</v>
      </c>
      <c r="BE318">
        <v>0</v>
      </c>
      <c r="BF318">
        <v>0</v>
      </c>
    </row>
    <row r="319" spans="54:58" x14ac:dyDescent="0.25">
      <c r="BB319">
        <v>0</v>
      </c>
      <c r="BC319">
        <v>0</v>
      </c>
      <c r="BD319">
        <v>0</v>
      </c>
      <c r="BE319">
        <v>0</v>
      </c>
      <c r="BF319">
        <v>0</v>
      </c>
    </row>
    <row r="320" spans="54:58" x14ac:dyDescent="0.25">
      <c r="BB320">
        <v>0</v>
      </c>
      <c r="BC320">
        <v>0</v>
      </c>
      <c r="BD320">
        <v>0</v>
      </c>
      <c r="BE320">
        <v>0</v>
      </c>
      <c r="BF320">
        <v>0</v>
      </c>
    </row>
    <row r="321" spans="54:58" x14ac:dyDescent="0.25">
      <c r="BB321">
        <v>0</v>
      </c>
      <c r="BC321">
        <v>0</v>
      </c>
      <c r="BD321">
        <v>0</v>
      </c>
      <c r="BE321">
        <v>0</v>
      </c>
      <c r="BF321">
        <v>0</v>
      </c>
    </row>
    <row r="322" spans="54:58" x14ac:dyDescent="0.25">
      <c r="BB322">
        <v>0</v>
      </c>
      <c r="BC322">
        <v>0</v>
      </c>
      <c r="BD322">
        <v>0</v>
      </c>
      <c r="BE322">
        <v>0</v>
      </c>
      <c r="BF322">
        <v>0</v>
      </c>
    </row>
    <row r="323" spans="54:58" x14ac:dyDescent="0.25">
      <c r="BB323">
        <v>0</v>
      </c>
      <c r="BC323">
        <v>0</v>
      </c>
      <c r="BD323">
        <v>0</v>
      </c>
      <c r="BE323">
        <v>0</v>
      </c>
      <c r="BF323">
        <v>0</v>
      </c>
    </row>
    <row r="324" spans="54:58" x14ac:dyDescent="0.25">
      <c r="BB324">
        <v>0</v>
      </c>
      <c r="BC324">
        <v>0</v>
      </c>
      <c r="BD324">
        <v>0</v>
      </c>
      <c r="BE324">
        <v>0</v>
      </c>
      <c r="BF324">
        <v>0</v>
      </c>
    </row>
    <row r="325" spans="54:58" x14ac:dyDescent="0.25">
      <c r="BB325">
        <v>0</v>
      </c>
      <c r="BC325">
        <v>0</v>
      </c>
      <c r="BD325">
        <v>0</v>
      </c>
      <c r="BE325">
        <v>0</v>
      </c>
      <c r="BF325">
        <v>0</v>
      </c>
    </row>
    <row r="326" spans="54:58" x14ac:dyDescent="0.25">
      <c r="BB326">
        <v>0</v>
      </c>
      <c r="BC326">
        <v>0</v>
      </c>
      <c r="BD326">
        <v>0</v>
      </c>
      <c r="BE326">
        <v>0</v>
      </c>
      <c r="BF326">
        <v>0</v>
      </c>
    </row>
    <row r="327" spans="54:58" x14ac:dyDescent="0.25">
      <c r="BB327">
        <v>0</v>
      </c>
      <c r="BC327">
        <v>0</v>
      </c>
      <c r="BD327">
        <v>0</v>
      </c>
      <c r="BE327">
        <v>0</v>
      </c>
      <c r="BF327">
        <v>0</v>
      </c>
    </row>
    <row r="328" spans="54:58" x14ac:dyDescent="0.25">
      <c r="BB328">
        <v>0</v>
      </c>
      <c r="BC328">
        <v>0</v>
      </c>
      <c r="BD328">
        <v>0</v>
      </c>
      <c r="BE328">
        <v>0</v>
      </c>
      <c r="BF328">
        <v>0</v>
      </c>
    </row>
    <row r="329" spans="54:58" x14ac:dyDescent="0.25">
      <c r="BB329">
        <v>0</v>
      </c>
      <c r="BC329">
        <v>0</v>
      </c>
      <c r="BD329">
        <v>0</v>
      </c>
      <c r="BE329">
        <v>0</v>
      </c>
      <c r="BF329">
        <v>0</v>
      </c>
    </row>
    <row r="330" spans="54:58" x14ac:dyDescent="0.25">
      <c r="BB330">
        <v>0</v>
      </c>
      <c r="BC330">
        <v>0</v>
      </c>
      <c r="BD330">
        <v>0</v>
      </c>
      <c r="BE330">
        <v>0</v>
      </c>
      <c r="BF330">
        <v>0</v>
      </c>
    </row>
    <row r="331" spans="54:58" x14ac:dyDescent="0.25">
      <c r="BB331">
        <v>0</v>
      </c>
      <c r="BC331">
        <v>0</v>
      </c>
      <c r="BD331">
        <v>0</v>
      </c>
      <c r="BE331">
        <v>0</v>
      </c>
      <c r="BF331">
        <v>0</v>
      </c>
    </row>
    <row r="332" spans="54:58" x14ac:dyDescent="0.25">
      <c r="BB332">
        <v>0</v>
      </c>
      <c r="BC332">
        <v>0</v>
      </c>
      <c r="BD332">
        <v>0</v>
      </c>
      <c r="BE332">
        <v>0</v>
      </c>
      <c r="BF332">
        <v>0</v>
      </c>
    </row>
    <row r="333" spans="54:58" x14ac:dyDescent="0.25">
      <c r="BB333">
        <v>0</v>
      </c>
      <c r="BC333">
        <v>0</v>
      </c>
      <c r="BD333">
        <v>0</v>
      </c>
      <c r="BE333">
        <v>0</v>
      </c>
      <c r="BF333">
        <v>0</v>
      </c>
    </row>
    <row r="334" spans="54:58" x14ac:dyDescent="0.25">
      <c r="BB334">
        <v>0</v>
      </c>
      <c r="BC334">
        <v>0</v>
      </c>
      <c r="BD334">
        <v>0</v>
      </c>
      <c r="BE334">
        <v>0</v>
      </c>
      <c r="BF334">
        <v>0</v>
      </c>
    </row>
    <row r="335" spans="54:58" x14ac:dyDescent="0.25">
      <c r="BB335">
        <v>0</v>
      </c>
      <c r="BC335">
        <v>0</v>
      </c>
      <c r="BD335">
        <v>0</v>
      </c>
      <c r="BE335">
        <v>0</v>
      </c>
      <c r="BF335">
        <v>0</v>
      </c>
    </row>
    <row r="336" spans="54:58" x14ac:dyDescent="0.25">
      <c r="BB336">
        <v>0</v>
      </c>
      <c r="BC336">
        <v>0</v>
      </c>
      <c r="BD336">
        <v>0</v>
      </c>
      <c r="BE336">
        <v>0</v>
      </c>
      <c r="BF336">
        <v>0</v>
      </c>
    </row>
    <row r="337" spans="54:58" x14ac:dyDescent="0.25">
      <c r="BB337">
        <v>0</v>
      </c>
      <c r="BC337">
        <v>0</v>
      </c>
      <c r="BD337">
        <v>0</v>
      </c>
      <c r="BE337">
        <v>0</v>
      </c>
      <c r="BF337">
        <v>0</v>
      </c>
    </row>
    <row r="338" spans="54:58" x14ac:dyDescent="0.25">
      <c r="BB338">
        <v>0</v>
      </c>
      <c r="BC338">
        <v>0</v>
      </c>
      <c r="BD338">
        <v>0</v>
      </c>
      <c r="BE338">
        <v>0</v>
      </c>
      <c r="BF338">
        <v>0</v>
      </c>
    </row>
    <row r="339" spans="54:58" x14ac:dyDescent="0.25">
      <c r="BB339">
        <v>0</v>
      </c>
      <c r="BC339">
        <v>0</v>
      </c>
      <c r="BD339">
        <v>0</v>
      </c>
      <c r="BE339">
        <v>0</v>
      </c>
      <c r="BF339">
        <v>0</v>
      </c>
    </row>
    <row r="340" spans="54:58" x14ac:dyDescent="0.25">
      <c r="BB340">
        <v>0</v>
      </c>
      <c r="BC340">
        <v>0</v>
      </c>
      <c r="BD340">
        <v>0</v>
      </c>
      <c r="BE340">
        <v>0</v>
      </c>
      <c r="BF340">
        <v>0</v>
      </c>
    </row>
    <row r="341" spans="54:58" x14ac:dyDescent="0.25">
      <c r="BB341">
        <v>0</v>
      </c>
      <c r="BC341">
        <v>0</v>
      </c>
      <c r="BD341">
        <v>0</v>
      </c>
      <c r="BE341">
        <v>0</v>
      </c>
      <c r="BF341">
        <v>0</v>
      </c>
    </row>
    <row r="342" spans="54:58" x14ac:dyDescent="0.25">
      <c r="BB342">
        <v>0</v>
      </c>
      <c r="BC342">
        <v>0</v>
      </c>
      <c r="BD342">
        <v>0</v>
      </c>
      <c r="BE342">
        <v>0</v>
      </c>
      <c r="BF342">
        <v>0</v>
      </c>
    </row>
    <row r="343" spans="54:58" x14ac:dyDescent="0.25">
      <c r="BB343">
        <v>0</v>
      </c>
      <c r="BC343">
        <v>0</v>
      </c>
      <c r="BD343">
        <v>0</v>
      </c>
      <c r="BE343">
        <v>0</v>
      </c>
      <c r="BF343">
        <v>0</v>
      </c>
    </row>
    <row r="344" spans="54:58" x14ac:dyDescent="0.25">
      <c r="BB344">
        <v>0</v>
      </c>
      <c r="BC344">
        <v>0</v>
      </c>
      <c r="BD344">
        <v>0</v>
      </c>
      <c r="BE344">
        <v>0</v>
      </c>
      <c r="BF344">
        <v>0</v>
      </c>
    </row>
    <row r="345" spans="54:58" x14ac:dyDescent="0.25">
      <c r="BB345">
        <v>0</v>
      </c>
      <c r="BC345">
        <v>0</v>
      </c>
      <c r="BD345">
        <v>0</v>
      </c>
      <c r="BE345">
        <v>0</v>
      </c>
      <c r="BF345">
        <v>0</v>
      </c>
    </row>
    <row r="346" spans="54:58" x14ac:dyDescent="0.25">
      <c r="BB346">
        <v>0</v>
      </c>
      <c r="BC346">
        <v>0</v>
      </c>
      <c r="BD346">
        <v>0</v>
      </c>
      <c r="BE346">
        <v>0</v>
      </c>
      <c r="BF346">
        <v>0</v>
      </c>
    </row>
    <row r="347" spans="54:58" x14ac:dyDescent="0.25">
      <c r="BB347">
        <v>0</v>
      </c>
      <c r="BC347">
        <v>0</v>
      </c>
      <c r="BD347">
        <v>0</v>
      </c>
      <c r="BE347">
        <v>0</v>
      </c>
      <c r="BF347">
        <v>0</v>
      </c>
    </row>
    <row r="348" spans="54:58" x14ac:dyDescent="0.25">
      <c r="BB348">
        <v>0</v>
      </c>
      <c r="BC348">
        <v>0</v>
      </c>
      <c r="BD348">
        <v>0</v>
      </c>
      <c r="BE348">
        <v>0</v>
      </c>
      <c r="BF348">
        <v>0</v>
      </c>
    </row>
    <row r="349" spans="54:58" x14ac:dyDescent="0.25">
      <c r="BB349">
        <v>0</v>
      </c>
      <c r="BC349">
        <v>0</v>
      </c>
      <c r="BD349">
        <v>0</v>
      </c>
      <c r="BE349">
        <v>0</v>
      </c>
      <c r="BF349">
        <v>0</v>
      </c>
    </row>
    <row r="350" spans="54:58" x14ac:dyDescent="0.25">
      <c r="BB350">
        <v>0</v>
      </c>
      <c r="BC350">
        <v>0</v>
      </c>
      <c r="BD350">
        <v>0</v>
      </c>
      <c r="BE350">
        <v>0</v>
      </c>
      <c r="BF350">
        <v>0</v>
      </c>
    </row>
    <row r="351" spans="54:58" x14ac:dyDescent="0.25">
      <c r="BB351">
        <v>0</v>
      </c>
      <c r="BC351">
        <v>0</v>
      </c>
      <c r="BD351">
        <v>0</v>
      </c>
      <c r="BE351">
        <v>0</v>
      </c>
      <c r="BF351">
        <v>0</v>
      </c>
    </row>
    <row r="352" spans="54:58" x14ac:dyDescent="0.25">
      <c r="BB352">
        <v>0</v>
      </c>
      <c r="BC352">
        <v>0</v>
      </c>
      <c r="BD352">
        <v>0</v>
      </c>
      <c r="BE352">
        <v>0</v>
      </c>
      <c r="BF352">
        <v>0</v>
      </c>
    </row>
    <row r="353" spans="54:58" x14ac:dyDescent="0.25">
      <c r="BB353">
        <v>0</v>
      </c>
      <c r="BC353">
        <v>0</v>
      </c>
      <c r="BD353">
        <v>0</v>
      </c>
      <c r="BE353">
        <v>0</v>
      </c>
      <c r="BF353">
        <v>0</v>
      </c>
    </row>
    <row r="354" spans="54:58" x14ac:dyDescent="0.25">
      <c r="BB354">
        <v>0</v>
      </c>
      <c r="BC354">
        <v>0</v>
      </c>
      <c r="BD354">
        <v>0</v>
      </c>
      <c r="BE354">
        <v>0</v>
      </c>
      <c r="BF354">
        <v>0</v>
      </c>
    </row>
    <row r="355" spans="54:58" x14ac:dyDescent="0.25">
      <c r="BB355">
        <v>0</v>
      </c>
      <c r="BC355">
        <v>0</v>
      </c>
      <c r="BD355">
        <v>0</v>
      </c>
      <c r="BE355">
        <v>0</v>
      </c>
      <c r="BF355">
        <v>0</v>
      </c>
    </row>
    <row r="356" spans="54:58" x14ac:dyDescent="0.25">
      <c r="BB356">
        <v>0</v>
      </c>
      <c r="BC356">
        <v>0</v>
      </c>
      <c r="BD356">
        <v>0</v>
      </c>
      <c r="BE356">
        <v>0</v>
      </c>
      <c r="BF356">
        <v>0</v>
      </c>
    </row>
    <row r="357" spans="54:58" x14ac:dyDescent="0.25">
      <c r="BB357">
        <v>0</v>
      </c>
      <c r="BC357">
        <v>0</v>
      </c>
      <c r="BD357">
        <v>0</v>
      </c>
      <c r="BE357">
        <v>0</v>
      </c>
      <c r="BF357">
        <v>0</v>
      </c>
    </row>
    <row r="358" spans="54:58" x14ac:dyDescent="0.25">
      <c r="BB358">
        <v>0</v>
      </c>
      <c r="BC358">
        <v>0</v>
      </c>
      <c r="BD358">
        <v>0</v>
      </c>
      <c r="BE358">
        <v>0</v>
      </c>
      <c r="BF358">
        <v>0</v>
      </c>
    </row>
    <row r="359" spans="54:58" x14ac:dyDescent="0.25">
      <c r="BB359">
        <v>0</v>
      </c>
      <c r="BC359">
        <v>0</v>
      </c>
      <c r="BD359">
        <v>0</v>
      </c>
      <c r="BE359">
        <v>0</v>
      </c>
      <c r="BF359">
        <v>0</v>
      </c>
    </row>
    <row r="360" spans="54:58" x14ac:dyDescent="0.25">
      <c r="BB360">
        <v>0</v>
      </c>
      <c r="BC360">
        <v>0</v>
      </c>
      <c r="BD360">
        <v>0</v>
      </c>
      <c r="BE360">
        <v>0</v>
      </c>
      <c r="BF360">
        <v>0</v>
      </c>
    </row>
    <row r="361" spans="54:58" x14ac:dyDescent="0.25">
      <c r="BB361">
        <v>0</v>
      </c>
      <c r="BC361">
        <v>0</v>
      </c>
      <c r="BD361">
        <v>0</v>
      </c>
      <c r="BE361">
        <v>0</v>
      </c>
      <c r="BF361">
        <v>0</v>
      </c>
    </row>
    <row r="362" spans="54:58" x14ac:dyDescent="0.25">
      <c r="BB362">
        <v>0</v>
      </c>
      <c r="BC362">
        <v>0</v>
      </c>
      <c r="BD362">
        <v>0</v>
      </c>
      <c r="BE362">
        <v>0</v>
      </c>
      <c r="BF362">
        <v>0</v>
      </c>
    </row>
    <row r="363" spans="54:58" x14ac:dyDescent="0.25">
      <c r="BB363">
        <v>0</v>
      </c>
      <c r="BC363">
        <v>0</v>
      </c>
      <c r="BD363">
        <v>0</v>
      </c>
      <c r="BE363">
        <v>0</v>
      </c>
      <c r="BF363">
        <v>0</v>
      </c>
    </row>
    <row r="364" spans="54:58" x14ac:dyDescent="0.25">
      <c r="BB364">
        <v>0</v>
      </c>
      <c r="BC364">
        <v>0</v>
      </c>
      <c r="BD364">
        <v>0</v>
      </c>
      <c r="BE364">
        <v>0</v>
      </c>
      <c r="BF364">
        <v>0</v>
      </c>
    </row>
    <row r="365" spans="54:58" x14ac:dyDescent="0.25">
      <c r="BB365">
        <v>0</v>
      </c>
      <c r="BC365">
        <v>0</v>
      </c>
      <c r="BD365">
        <v>0</v>
      </c>
      <c r="BE365">
        <v>0</v>
      </c>
      <c r="BF365">
        <v>0</v>
      </c>
    </row>
    <row r="366" spans="54:58" x14ac:dyDescent="0.25">
      <c r="BB366">
        <v>0</v>
      </c>
      <c r="BC366">
        <v>0</v>
      </c>
      <c r="BD366">
        <v>0</v>
      </c>
      <c r="BE366">
        <v>0</v>
      </c>
      <c r="BF366">
        <v>0</v>
      </c>
    </row>
    <row r="367" spans="54:58" x14ac:dyDescent="0.25">
      <c r="BB367">
        <v>0</v>
      </c>
      <c r="BC367">
        <v>0</v>
      </c>
      <c r="BD367">
        <v>0</v>
      </c>
      <c r="BE367">
        <v>0</v>
      </c>
      <c r="BF367">
        <v>0</v>
      </c>
    </row>
    <row r="368" spans="54:58" x14ac:dyDescent="0.25">
      <c r="BB368">
        <v>0</v>
      </c>
      <c r="BC368">
        <v>0</v>
      </c>
      <c r="BD368">
        <v>0</v>
      </c>
      <c r="BE368">
        <v>0</v>
      </c>
      <c r="BF368">
        <v>0</v>
      </c>
    </row>
    <row r="369" spans="54:58" x14ac:dyDescent="0.25">
      <c r="BB369">
        <v>0</v>
      </c>
      <c r="BC369">
        <v>0</v>
      </c>
      <c r="BD369">
        <v>0</v>
      </c>
      <c r="BE369">
        <v>0</v>
      </c>
      <c r="BF369">
        <v>0</v>
      </c>
    </row>
    <row r="370" spans="54:58" x14ac:dyDescent="0.25">
      <c r="BB370">
        <v>0</v>
      </c>
      <c r="BC370">
        <v>0</v>
      </c>
      <c r="BD370">
        <v>0</v>
      </c>
      <c r="BE370">
        <v>0</v>
      </c>
      <c r="BF370">
        <v>0</v>
      </c>
    </row>
    <row r="371" spans="54:58" x14ac:dyDescent="0.25">
      <c r="BB371">
        <v>0</v>
      </c>
      <c r="BC371">
        <v>0</v>
      </c>
      <c r="BD371">
        <v>0</v>
      </c>
      <c r="BE371">
        <v>0</v>
      </c>
      <c r="BF371">
        <v>0</v>
      </c>
    </row>
    <row r="372" spans="54:58" x14ac:dyDescent="0.25">
      <c r="BB372">
        <v>0</v>
      </c>
      <c r="BC372">
        <v>0</v>
      </c>
      <c r="BD372">
        <v>0</v>
      </c>
      <c r="BE372">
        <v>0</v>
      </c>
      <c r="BF372">
        <v>0</v>
      </c>
    </row>
    <row r="373" spans="54:58" x14ac:dyDescent="0.25">
      <c r="BB373">
        <v>0</v>
      </c>
      <c r="BC373">
        <v>0</v>
      </c>
      <c r="BD373">
        <v>0</v>
      </c>
      <c r="BE373">
        <v>0</v>
      </c>
      <c r="BF373">
        <v>0</v>
      </c>
    </row>
    <row r="374" spans="54:58" x14ac:dyDescent="0.25">
      <c r="BB374">
        <v>0</v>
      </c>
      <c r="BC374">
        <v>0</v>
      </c>
      <c r="BD374">
        <v>0</v>
      </c>
      <c r="BE374">
        <v>0</v>
      </c>
      <c r="BF374">
        <v>0</v>
      </c>
    </row>
    <row r="375" spans="54:58" x14ac:dyDescent="0.25">
      <c r="BB375">
        <v>0</v>
      </c>
      <c r="BC375">
        <v>0</v>
      </c>
      <c r="BD375">
        <v>0</v>
      </c>
      <c r="BE375">
        <v>0</v>
      </c>
      <c r="BF375">
        <v>0</v>
      </c>
    </row>
    <row r="376" spans="54:58" x14ac:dyDescent="0.25">
      <c r="BB376">
        <v>0</v>
      </c>
      <c r="BC376">
        <v>0</v>
      </c>
      <c r="BD376">
        <v>0</v>
      </c>
      <c r="BE376">
        <v>0</v>
      </c>
      <c r="BF376">
        <v>0</v>
      </c>
    </row>
    <row r="377" spans="54:58" x14ac:dyDescent="0.25">
      <c r="BB377">
        <v>0</v>
      </c>
      <c r="BC377">
        <v>0</v>
      </c>
      <c r="BD377">
        <v>0</v>
      </c>
      <c r="BE377">
        <v>0</v>
      </c>
      <c r="BF377">
        <v>0</v>
      </c>
    </row>
    <row r="378" spans="54:58" x14ac:dyDescent="0.25">
      <c r="BB378">
        <v>0</v>
      </c>
      <c r="BC378">
        <v>0</v>
      </c>
      <c r="BD378">
        <v>0</v>
      </c>
      <c r="BE378">
        <v>0</v>
      </c>
      <c r="BF378">
        <v>0</v>
      </c>
    </row>
    <row r="379" spans="54:58" x14ac:dyDescent="0.25">
      <c r="BB379">
        <v>0</v>
      </c>
      <c r="BC379">
        <v>0</v>
      </c>
      <c r="BD379">
        <v>0</v>
      </c>
      <c r="BE379">
        <v>0</v>
      </c>
      <c r="BF379">
        <v>0</v>
      </c>
    </row>
    <row r="380" spans="54:58" x14ac:dyDescent="0.25">
      <c r="BB380">
        <v>0</v>
      </c>
      <c r="BC380">
        <v>0</v>
      </c>
      <c r="BD380">
        <v>0</v>
      </c>
      <c r="BE380">
        <v>0</v>
      </c>
      <c r="BF380">
        <v>0</v>
      </c>
    </row>
    <row r="381" spans="54:58" x14ac:dyDescent="0.25">
      <c r="BB381">
        <v>0</v>
      </c>
      <c r="BC381">
        <v>0</v>
      </c>
      <c r="BD381">
        <v>0</v>
      </c>
      <c r="BE381">
        <v>0</v>
      </c>
      <c r="BF381">
        <v>0</v>
      </c>
    </row>
    <row r="382" spans="54:58" x14ac:dyDescent="0.25">
      <c r="BB382">
        <v>0</v>
      </c>
      <c r="BC382">
        <v>0</v>
      </c>
      <c r="BD382">
        <v>0</v>
      </c>
      <c r="BE382">
        <v>0</v>
      </c>
      <c r="BF382">
        <v>0</v>
      </c>
    </row>
    <row r="383" spans="54:58" x14ac:dyDescent="0.25">
      <c r="BB383">
        <v>0</v>
      </c>
      <c r="BC383">
        <v>0</v>
      </c>
      <c r="BD383">
        <v>0</v>
      </c>
      <c r="BE383">
        <v>0</v>
      </c>
      <c r="BF383">
        <v>0</v>
      </c>
    </row>
    <row r="384" spans="54:58" x14ac:dyDescent="0.25">
      <c r="BB384">
        <v>0</v>
      </c>
      <c r="BC384">
        <v>0</v>
      </c>
      <c r="BD384">
        <v>0</v>
      </c>
      <c r="BE384">
        <v>0</v>
      </c>
      <c r="BF384">
        <v>0</v>
      </c>
    </row>
    <row r="385" spans="54:58" x14ac:dyDescent="0.25">
      <c r="BB385">
        <v>0</v>
      </c>
      <c r="BC385">
        <v>0</v>
      </c>
      <c r="BD385">
        <v>0</v>
      </c>
      <c r="BE385">
        <v>0</v>
      </c>
      <c r="BF385">
        <v>0</v>
      </c>
    </row>
    <row r="386" spans="54:58" x14ac:dyDescent="0.25">
      <c r="BB386">
        <v>0</v>
      </c>
      <c r="BC386">
        <v>0</v>
      </c>
      <c r="BD386">
        <v>0</v>
      </c>
      <c r="BE386">
        <v>0</v>
      </c>
      <c r="BF386">
        <v>0</v>
      </c>
    </row>
    <row r="387" spans="54:58" x14ac:dyDescent="0.25">
      <c r="BB387">
        <v>0</v>
      </c>
      <c r="BC387">
        <v>0</v>
      </c>
      <c r="BD387">
        <v>0</v>
      </c>
      <c r="BE387">
        <v>0</v>
      </c>
      <c r="BF387">
        <v>0</v>
      </c>
    </row>
    <row r="388" spans="54:58" x14ac:dyDescent="0.25">
      <c r="BB388">
        <v>0</v>
      </c>
      <c r="BC388">
        <v>0</v>
      </c>
      <c r="BD388">
        <v>0</v>
      </c>
      <c r="BE388">
        <v>0</v>
      </c>
      <c r="BF388">
        <v>0</v>
      </c>
    </row>
    <row r="389" spans="54:58" x14ac:dyDescent="0.25">
      <c r="BB389">
        <v>0</v>
      </c>
      <c r="BC389">
        <v>0</v>
      </c>
      <c r="BD389">
        <v>0</v>
      </c>
      <c r="BE389">
        <v>0</v>
      </c>
      <c r="BF389">
        <v>0</v>
      </c>
    </row>
    <row r="390" spans="54:58" x14ac:dyDescent="0.25">
      <c r="BB390">
        <v>0</v>
      </c>
      <c r="BC390">
        <v>0</v>
      </c>
      <c r="BD390">
        <v>0</v>
      </c>
      <c r="BE390">
        <v>0</v>
      </c>
      <c r="BF390">
        <v>0</v>
      </c>
    </row>
    <row r="391" spans="54:58" x14ac:dyDescent="0.25">
      <c r="BB391">
        <v>0</v>
      </c>
      <c r="BC391">
        <v>0</v>
      </c>
      <c r="BD391">
        <v>0</v>
      </c>
      <c r="BE391">
        <v>0</v>
      </c>
      <c r="BF391">
        <v>0</v>
      </c>
    </row>
    <row r="392" spans="54:58" x14ac:dyDescent="0.25">
      <c r="BB392">
        <v>0</v>
      </c>
      <c r="BC392">
        <v>0</v>
      </c>
      <c r="BD392">
        <v>0</v>
      </c>
      <c r="BE392">
        <v>0</v>
      </c>
      <c r="BF392">
        <v>0</v>
      </c>
    </row>
    <row r="393" spans="54:58" x14ac:dyDescent="0.25">
      <c r="BB393">
        <v>0</v>
      </c>
      <c r="BC393">
        <v>0</v>
      </c>
      <c r="BD393">
        <v>0</v>
      </c>
      <c r="BE393">
        <v>0</v>
      </c>
      <c r="BF393">
        <v>0</v>
      </c>
    </row>
    <row r="394" spans="54:58" x14ac:dyDescent="0.25">
      <c r="BB394">
        <v>0</v>
      </c>
      <c r="BC394">
        <v>0</v>
      </c>
      <c r="BD394">
        <v>0</v>
      </c>
      <c r="BE394">
        <v>0</v>
      </c>
      <c r="BF394">
        <v>0</v>
      </c>
    </row>
    <row r="395" spans="54:58" x14ac:dyDescent="0.25">
      <c r="BB395">
        <v>0</v>
      </c>
      <c r="BC395">
        <v>0</v>
      </c>
      <c r="BD395">
        <v>0</v>
      </c>
      <c r="BE395">
        <v>0</v>
      </c>
      <c r="BF395">
        <v>0</v>
      </c>
    </row>
    <row r="396" spans="54:58" x14ac:dyDescent="0.25">
      <c r="BB396">
        <v>0</v>
      </c>
      <c r="BC396">
        <v>0</v>
      </c>
      <c r="BD396">
        <v>0</v>
      </c>
      <c r="BE396">
        <v>0</v>
      </c>
      <c r="BF396">
        <v>0</v>
      </c>
    </row>
    <row r="397" spans="54:58" x14ac:dyDescent="0.25">
      <c r="BB397">
        <v>0</v>
      </c>
      <c r="BC397">
        <v>0</v>
      </c>
      <c r="BD397">
        <v>0</v>
      </c>
      <c r="BE397">
        <v>0</v>
      </c>
      <c r="BF397">
        <v>0</v>
      </c>
    </row>
    <row r="398" spans="54:58" x14ac:dyDescent="0.25">
      <c r="BB398">
        <v>0</v>
      </c>
      <c r="BC398">
        <v>0</v>
      </c>
      <c r="BD398">
        <v>0</v>
      </c>
      <c r="BE398">
        <v>0</v>
      </c>
      <c r="BF398">
        <v>0</v>
      </c>
    </row>
    <row r="399" spans="54:58" x14ac:dyDescent="0.25">
      <c r="BB399">
        <v>0</v>
      </c>
      <c r="BC399">
        <v>0</v>
      </c>
      <c r="BD399">
        <v>0</v>
      </c>
      <c r="BE399">
        <v>0</v>
      </c>
      <c r="BF399">
        <v>0</v>
      </c>
    </row>
    <row r="400" spans="54:58" x14ac:dyDescent="0.25">
      <c r="BB400">
        <v>0</v>
      </c>
      <c r="BC400">
        <v>0</v>
      </c>
      <c r="BD400">
        <v>0</v>
      </c>
      <c r="BE400">
        <v>0</v>
      </c>
      <c r="BF400">
        <v>0</v>
      </c>
    </row>
    <row r="401" spans="54:58" x14ac:dyDescent="0.25">
      <c r="BB401">
        <v>0</v>
      </c>
      <c r="BC401">
        <v>0</v>
      </c>
      <c r="BD401">
        <v>0</v>
      </c>
      <c r="BE401">
        <v>0</v>
      </c>
      <c r="BF401">
        <v>0</v>
      </c>
    </row>
    <row r="402" spans="54:58" x14ac:dyDescent="0.25">
      <c r="BB402">
        <v>0</v>
      </c>
      <c r="BC402">
        <v>0</v>
      </c>
      <c r="BD402">
        <v>0</v>
      </c>
      <c r="BE402">
        <v>0</v>
      </c>
      <c r="BF402">
        <v>0</v>
      </c>
    </row>
    <row r="403" spans="54:58" x14ac:dyDescent="0.25">
      <c r="BB403">
        <v>0</v>
      </c>
      <c r="BC403">
        <v>0</v>
      </c>
      <c r="BD403">
        <v>0</v>
      </c>
      <c r="BE403">
        <v>0</v>
      </c>
      <c r="BF403">
        <v>0</v>
      </c>
    </row>
    <row r="404" spans="54:58" x14ac:dyDescent="0.25">
      <c r="BB404">
        <v>0</v>
      </c>
      <c r="BC404">
        <v>0</v>
      </c>
      <c r="BD404">
        <v>0</v>
      </c>
      <c r="BE404">
        <v>0</v>
      </c>
      <c r="BF404">
        <v>0</v>
      </c>
    </row>
    <row r="405" spans="54:58" x14ac:dyDescent="0.25">
      <c r="BB405">
        <v>0</v>
      </c>
      <c r="BC405">
        <v>0</v>
      </c>
      <c r="BD405">
        <v>0</v>
      </c>
      <c r="BE405">
        <v>0</v>
      </c>
      <c r="BF405">
        <v>0</v>
      </c>
    </row>
    <row r="406" spans="54:58" x14ac:dyDescent="0.25">
      <c r="BB406">
        <v>0</v>
      </c>
      <c r="BC406">
        <v>0</v>
      </c>
      <c r="BD406">
        <v>0</v>
      </c>
      <c r="BE406">
        <v>0</v>
      </c>
      <c r="BF406">
        <v>0</v>
      </c>
    </row>
    <row r="407" spans="54:58" x14ac:dyDescent="0.25">
      <c r="BB407">
        <v>0</v>
      </c>
      <c r="BC407">
        <v>0</v>
      </c>
      <c r="BD407">
        <v>0</v>
      </c>
      <c r="BE407">
        <v>0</v>
      </c>
      <c r="BF407">
        <v>0</v>
      </c>
    </row>
    <row r="408" spans="54:58" x14ac:dyDescent="0.25">
      <c r="BB408">
        <v>0</v>
      </c>
      <c r="BC408">
        <v>0</v>
      </c>
      <c r="BD408">
        <v>0</v>
      </c>
      <c r="BE408">
        <v>0</v>
      </c>
      <c r="BF408">
        <v>0</v>
      </c>
    </row>
    <row r="409" spans="54:58" x14ac:dyDescent="0.25">
      <c r="BB409">
        <v>0</v>
      </c>
      <c r="BC409">
        <v>0</v>
      </c>
      <c r="BD409">
        <v>0</v>
      </c>
      <c r="BE409">
        <v>0</v>
      </c>
      <c r="BF409">
        <v>0</v>
      </c>
    </row>
    <row r="410" spans="54:58" x14ac:dyDescent="0.25">
      <c r="BB410">
        <v>0</v>
      </c>
      <c r="BC410">
        <v>0</v>
      </c>
      <c r="BD410">
        <v>0</v>
      </c>
      <c r="BE410">
        <v>0</v>
      </c>
      <c r="BF410">
        <v>0</v>
      </c>
    </row>
    <row r="411" spans="54:58" x14ac:dyDescent="0.25">
      <c r="BB411">
        <v>0</v>
      </c>
      <c r="BC411">
        <v>0</v>
      </c>
      <c r="BD411">
        <v>0</v>
      </c>
      <c r="BE411">
        <v>0</v>
      </c>
      <c r="BF411">
        <v>0</v>
      </c>
    </row>
    <row r="412" spans="54:58" x14ac:dyDescent="0.25">
      <c r="BB412">
        <v>0</v>
      </c>
      <c r="BC412">
        <v>0</v>
      </c>
      <c r="BD412">
        <v>0</v>
      </c>
      <c r="BE412">
        <v>0</v>
      </c>
      <c r="BF412">
        <v>0</v>
      </c>
    </row>
    <row r="413" spans="54:58" x14ac:dyDescent="0.25">
      <c r="BB413">
        <v>0</v>
      </c>
      <c r="BC413">
        <v>0</v>
      </c>
      <c r="BD413">
        <v>0</v>
      </c>
      <c r="BE413">
        <v>0</v>
      </c>
      <c r="BF413">
        <v>0</v>
      </c>
    </row>
    <row r="414" spans="54:58" x14ac:dyDescent="0.25">
      <c r="BB414">
        <v>0</v>
      </c>
      <c r="BC414">
        <v>0</v>
      </c>
      <c r="BD414">
        <v>0</v>
      </c>
      <c r="BE414">
        <v>0</v>
      </c>
      <c r="BF414">
        <v>0</v>
      </c>
    </row>
    <row r="415" spans="54:58" x14ac:dyDescent="0.25">
      <c r="BB415">
        <v>0</v>
      </c>
      <c r="BC415">
        <v>0</v>
      </c>
      <c r="BD415">
        <v>0</v>
      </c>
      <c r="BE415">
        <v>0</v>
      </c>
      <c r="BF415">
        <v>0</v>
      </c>
    </row>
    <row r="416" spans="54:58" x14ac:dyDescent="0.25">
      <c r="BB416">
        <v>0</v>
      </c>
      <c r="BC416">
        <v>0</v>
      </c>
      <c r="BD416">
        <v>0</v>
      </c>
      <c r="BE416">
        <v>0</v>
      </c>
      <c r="BF416">
        <v>0</v>
      </c>
    </row>
    <row r="417" spans="54:58" x14ac:dyDescent="0.25">
      <c r="BB417">
        <v>0</v>
      </c>
      <c r="BC417">
        <v>0</v>
      </c>
      <c r="BD417">
        <v>0</v>
      </c>
      <c r="BE417">
        <v>0</v>
      </c>
      <c r="BF417">
        <v>0</v>
      </c>
    </row>
    <row r="418" spans="54:58" x14ac:dyDescent="0.25">
      <c r="BB418">
        <v>0</v>
      </c>
      <c r="BC418">
        <v>0</v>
      </c>
      <c r="BD418">
        <v>0</v>
      </c>
      <c r="BE418">
        <v>0</v>
      </c>
      <c r="BF418">
        <v>0</v>
      </c>
    </row>
    <row r="419" spans="54:58" x14ac:dyDescent="0.25">
      <c r="BB419">
        <v>0</v>
      </c>
      <c r="BC419">
        <v>0</v>
      </c>
      <c r="BD419">
        <v>0</v>
      </c>
      <c r="BE419">
        <v>0</v>
      </c>
      <c r="BF419">
        <v>0</v>
      </c>
    </row>
    <row r="420" spans="54:58" x14ac:dyDescent="0.25">
      <c r="BB420">
        <v>0</v>
      </c>
      <c r="BC420">
        <v>0</v>
      </c>
      <c r="BD420">
        <v>0</v>
      </c>
      <c r="BE420">
        <v>0</v>
      </c>
      <c r="BF420">
        <v>0</v>
      </c>
    </row>
    <row r="421" spans="54:58" x14ac:dyDescent="0.25">
      <c r="BB421">
        <v>0</v>
      </c>
      <c r="BC421">
        <v>0</v>
      </c>
      <c r="BD421">
        <v>0</v>
      </c>
      <c r="BE421">
        <v>0</v>
      </c>
      <c r="BF421">
        <v>0</v>
      </c>
    </row>
    <row r="422" spans="54:58" x14ac:dyDescent="0.25">
      <c r="BB422">
        <v>0</v>
      </c>
      <c r="BC422">
        <v>0</v>
      </c>
      <c r="BD422">
        <v>0</v>
      </c>
      <c r="BE422">
        <v>0</v>
      </c>
      <c r="BF422">
        <v>0</v>
      </c>
    </row>
    <row r="423" spans="54:58" x14ac:dyDescent="0.25">
      <c r="BB423">
        <v>0</v>
      </c>
      <c r="BC423">
        <v>0</v>
      </c>
      <c r="BD423">
        <v>0</v>
      </c>
      <c r="BE423">
        <v>0</v>
      </c>
      <c r="BF423">
        <v>0</v>
      </c>
    </row>
    <row r="424" spans="54:58" x14ac:dyDescent="0.25">
      <c r="BB424">
        <v>0</v>
      </c>
      <c r="BC424">
        <v>0</v>
      </c>
      <c r="BD424">
        <v>0</v>
      </c>
      <c r="BE424">
        <v>0</v>
      </c>
      <c r="BF424">
        <v>0</v>
      </c>
    </row>
    <row r="425" spans="54:58" x14ac:dyDescent="0.25">
      <c r="BB425">
        <v>0</v>
      </c>
      <c r="BC425">
        <v>0</v>
      </c>
      <c r="BD425">
        <v>0</v>
      </c>
      <c r="BE425">
        <v>0</v>
      </c>
      <c r="BF425">
        <v>0</v>
      </c>
    </row>
    <row r="426" spans="54:58" x14ac:dyDescent="0.25">
      <c r="BB426">
        <v>0</v>
      </c>
      <c r="BC426">
        <v>0</v>
      </c>
      <c r="BD426">
        <v>0</v>
      </c>
      <c r="BE426">
        <v>0</v>
      </c>
      <c r="BF426">
        <v>0</v>
      </c>
    </row>
    <row r="427" spans="54:58" x14ac:dyDescent="0.25">
      <c r="BB427">
        <v>0</v>
      </c>
      <c r="BC427">
        <v>0</v>
      </c>
      <c r="BD427">
        <v>0</v>
      </c>
      <c r="BE427">
        <v>0</v>
      </c>
      <c r="BF427">
        <v>0</v>
      </c>
    </row>
    <row r="428" spans="54:58" x14ac:dyDescent="0.25">
      <c r="BB428">
        <v>0</v>
      </c>
      <c r="BC428">
        <v>0</v>
      </c>
      <c r="BD428">
        <v>0</v>
      </c>
      <c r="BE428">
        <v>0</v>
      </c>
      <c r="BF428">
        <v>0</v>
      </c>
    </row>
    <row r="429" spans="54:58" x14ac:dyDescent="0.25">
      <c r="BB429">
        <v>0</v>
      </c>
      <c r="BC429">
        <v>0</v>
      </c>
      <c r="BD429">
        <v>0</v>
      </c>
      <c r="BE429">
        <v>0</v>
      </c>
      <c r="BF429">
        <v>0</v>
      </c>
    </row>
    <row r="430" spans="54:58" x14ac:dyDescent="0.25">
      <c r="BB430">
        <v>0</v>
      </c>
      <c r="BC430">
        <v>0</v>
      </c>
      <c r="BD430">
        <v>0</v>
      </c>
      <c r="BE430">
        <v>0</v>
      </c>
      <c r="BF430">
        <v>0</v>
      </c>
    </row>
    <row r="431" spans="54:58" x14ac:dyDescent="0.25">
      <c r="BB431">
        <v>0</v>
      </c>
      <c r="BC431">
        <v>0</v>
      </c>
      <c r="BD431">
        <v>0</v>
      </c>
      <c r="BE431">
        <v>0</v>
      </c>
      <c r="BF431">
        <v>0</v>
      </c>
    </row>
    <row r="432" spans="54:58" x14ac:dyDescent="0.25">
      <c r="BB432">
        <v>0</v>
      </c>
      <c r="BC432">
        <v>0</v>
      </c>
      <c r="BD432">
        <v>0</v>
      </c>
      <c r="BE432">
        <v>0</v>
      </c>
      <c r="BF432">
        <v>0</v>
      </c>
    </row>
    <row r="433" spans="54:58" x14ac:dyDescent="0.25">
      <c r="BB433">
        <v>0</v>
      </c>
      <c r="BC433">
        <v>0</v>
      </c>
      <c r="BD433">
        <v>0</v>
      </c>
      <c r="BE433">
        <v>0</v>
      </c>
      <c r="BF433">
        <v>0</v>
      </c>
    </row>
    <row r="434" spans="54:58" x14ac:dyDescent="0.25">
      <c r="BB434">
        <v>0</v>
      </c>
      <c r="BC434">
        <v>0</v>
      </c>
      <c r="BD434">
        <v>0</v>
      </c>
      <c r="BE434">
        <v>0</v>
      </c>
      <c r="BF434">
        <v>0</v>
      </c>
    </row>
    <row r="435" spans="54:58" x14ac:dyDescent="0.25">
      <c r="BB435">
        <v>0</v>
      </c>
      <c r="BC435">
        <v>0</v>
      </c>
      <c r="BD435">
        <v>0</v>
      </c>
      <c r="BE435">
        <v>0</v>
      </c>
      <c r="BF435">
        <v>0</v>
      </c>
    </row>
    <row r="436" spans="54:58" x14ac:dyDescent="0.25">
      <c r="BB436">
        <v>0</v>
      </c>
      <c r="BC436">
        <v>0</v>
      </c>
      <c r="BD436">
        <v>0</v>
      </c>
      <c r="BE436">
        <v>0</v>
      </c>
      <c r="BF436">
        <v>0</v>
      </c>
    </row>
    <row r="437" spans="54:58" x14ac:dyDescent="0.25">
      <c r="BB437">
        <v>0</v>
      </c>
      <c r="BC437">
        <v>0</v>
      </c>
      <c r="BD437">
        <v>0</v>
      </c>
      <c r="BE437">
        <v>0</v>
      </c>
      <c r="BF437">
        <v>0</v>
      </c>
    </row>
    <row r="438" spans="54:58" x14ac:dyDescent="0.25">
      <c r="BB438">
        <v>0</v>
      </c>
      <c r="BC438">
        <v>0</v>
      </c>
      <c r="BD438">
        <v>0</v>
      </c>
      <c r="BE438">
        <v>0</v>
      </c>
      <c r="BF438">
        <v>0</v>
      </c>
    </row>
    <row r="439" spans="54:58" x14ac:dyDescent="0.25">
      <c r="BB439">
        <v>0</v>
      </c>
      <c r="BC439">
        <v>0</v>
      </c>
      <c r="BD439">
        <v>0</v>
      </c>
      <c r="BE439">
        <v>0</v>
      </c>
      <c r="BF439">
        <v>0</v>
      </c>
    </row>
    <row r="440" spans="54:58" x14ac:dyDescent="0.25">
      <c r="BB440">
        <v>0</v>
      </c>
      <c r="BC440">
        <v>0</v>
      </c>
      <c r="BD440">
        <v>0</v>
      </c>
      <c r="BE440">
        <v>0</v>
      </c>
      <c r="BF440">
        <v>0</v>
      </c>
    </row>
    <row r="441" spans="54:58" x14ac:dyDescent="0.25">
      <c r="BB441">
        <v>0</v>
      </c>
      <c r="BC441">
        <v>0</v>
      </c>
      <c r="BD441">
        <v>0</v>
      </c>
      <c r="BE441">
        <v>0</v>
      </c>
      <c r="BF441">
        <v>0</v>
      </c>
    </row>
    <row r="442" spans="54:58" x14ac:dyDescent="0.25">
      <c r="BB442">
        <v>0</v>
      </c>
      <c r="BC442">
        <v>0</v>
      </c>
      <c r="BD442">
        <v>0</v>
      </c>
      <c r="BE442">
        <v>0</v>
      </c>
      <c r="BF442">
        <v>0</v>
      </c>
    </row>
    <row r="443" spans="54:58" x14ac:dyDescent="0.25">
      <c r="BB443">
        <v>0</v>
      </c>
      <c r="BC443">
        <v>0</v>
      </c>
      <c r="BD443">
        <v>0</v>
      </c>
      <c r="BE443">
        <v>0</v>
      </c>
      <c r="BF443">
        <v>0</v>
      </c>
    </row>
    <row r="444" spans="54:58" x14ac:dyDescent="0.25">
      <c r="BB444">
        <v>0</v>
      </c>
      <c r="BC444">
        <v>0</v>
      </c>
      <c r="BD444">
        <v>0</v>
      </c>
      <c r="BE444">
        <v>0</v>
      </c>
      <c r="BF444">
        <v>0</v>
      </c>
    </row>
    <row r="445" spans="54:58" x14ac:dyDescent="0.25">
      <c r="BB445">
        <v>0</v>
      </c>
      <c r="BC445">
        <v>0</v>
      </c>
      <c r="BD445">
        <v>0</v>
      </c>
      <c r="BE445">
        <v>0</v>
      </c>
      <c r="BF445">
        <v>0</v>
      </c>
    </row>
    <row r="446" spans="54:58" x14ac:dyDescent="0.25">
      <c r="BB446">
        <v>0</v>
      </c>
      <c r="BC446">
        <v>0</v>
      </c>
      <c r="BD446">
        <v>0</v>
      </c>
      <c r="BE446">
        <v>0</v>
      </c>
      <c r="BF446">
        <v>0</v>
      </c>
    </row>
    <row r="447" spans="54:58" x14ac:dyDescent="0.25">
      <c r="BB447">
        <v>0</v>
      </c>
      <c r="BC447">
        <v>0</v>
      </c>
      <c r="BD447">
        <v>0</v>
      </c>
      <c r="BE447">
        <v>0</v>
      </c>
      <c r="BF447">
        <v>0</v>
      </c>
    </row>
    <row r="448" spans="54:58" x14ac:dyDescent="0.25">
      <c r="BB448">
        <v>0</v>
      </c>
      <c r="BC448">
        <v>0</v>
      </c>
      <c r="BD448">
        <v>0</v>
      </c>
      <c r="BE448">
        <v>0</v>
      </c>
      <c r="BF448">
        <v>0</v>
      </c>
    </row>
    <row r="449" spans="54:58" x14ac:dyDescent="0.25">
      <c r="BB449">
        <v>0</v>
      </c>
      <c r="BC449">
        <v>0</v>
      </c>
      <c r="BD449">
        <v>0</v>
      </c>
      <c r="BE449">
        <v>0</v>
      </c>
      <c r="BF449">
        <v>0</v>
      </c>
    </row>
    <row r="450" spans="54:58" x14ac:dyDescent="0.25">
      <c r="BB450">
        <v>0</v>
      </c>
      <c r="BC450">
        <v>0</v>
      </c>
      <c r="BD450">
        <v>0</v>
      </c>
      <c r="BE450">
        <v>0</v>
      </c>
      <c r="BF450">
        <v>0</v>
      </c>
    </row>
    <row r="451" spans="54:58" x14ac:dyDescent="0.25">
      <c r="BB451">
        <v>0</v>
      </c>
      <c r="BC451">
        <v>0</v>
      </c>
      <c r="BD451">
        <v>0</v>
      </c>
      <c r="BE451">
        <v>0</v>
      </c>
      <c r="BF451">
        <v>0</v>
      </c>
    </row>
    <row r="452" spans="54:58" x14ac:dyDescent="0.25">
      <c r="BB452">
        <v>0</v>
      </c>
      <c r="BC452">
        <v>0</v>
      </c>
      <c r="BD452">
        <v>0</v>
      </c>
      <c r="BE452">
        <v>0</v>
      </c>
      <c r="BF452">
        <v>0</v>
      </c>
    </row>
    <row r="453" spans="54:58" x14ac:dyDescent="0.25">
      <c r="BB453">
        <v>0</v>
      </c>
      <c r="BC453">
        <v>0</v>
      </c>
      <c r="BD453">
        <v>0</v>
      </c>
      <c r="BE453">
        <v>0</v>
      </c>
      <c r="BF453">
        <v>0</v>
      </c>
    </row>
    <row r="454" spans="54:58" x14ac:dyDescent="0.25">
      <c r="BB454">
        <v>0</v>
      </c>
      <c r="BC454">
        <v>0</v>
      </c>
      <c r="BD454">
        <v>0</v>
      </c>
      <c r="BE454">
        <v>0</v>
      </c>
      <c r="BF454">
        <v>0</v>
      </c>
    </row>
    <row r="455" spans="54:58" x14ac:dyDescent="0.25">
      <c r="BB455">
        <v>0</v>
      </c>
      <c r="BC455">
        <v>0</v>
      </c>
      <c r="BD455">
        <v>0</v>
      </c>
      <c r="BE455">
        <v>0</v>
      </c>
      <c r="BF455">
        <v>0</v>
      </c>
    </row>
    <row r="456" spans="54:58" x14ac:dyDescent="0.25">
      <c r="BB456">
        <v>0</v>
      </c>
      <c r="BC456">
        <v>0</v>
      </c>
      <c r="BD456">
        <v>0</v>
      </c>
      <c r="BE456">
        <v>0</v>
      </c>
      <c r="BF456">
        <v>0</v>
      </c>
    </row>
    <row r="457" spans="54:58" x14ac:dyDescent="0.25">
      <c r="BB457">
        <v>0</v>
      </c>
      <c r="BC457">
        <v>0</v>
      </c>
      <c r="BD457">
        <v>0</v>
      </c>
      <c r="BE457">
        <v>0</v>
      </c>
      <c r="BF457">
        <v>0</v>
      </c>
    </row>
    <row r="458" spans="54:58" x14ac:dyDescent="0.25">
      <c r="BB458">
        <v>0</v>
      </c>
      <c r="BC458">
        <v>0</v>
      </c>
      <c r="BD458">
        <v>0</v>
      </c>
      <c r="BE458">
        <v>0</v>
      </c>
      <c r="BF458">
        <v>0</v>
      </c>
    </row>
    <row r="459" spans="54:58" x14ac:dyDescent="0.25">
      <c r="BB459">
        <v>0</v>
      </c>
      <c r="BC459">
        <v>0</v>
      </c>
      <c r="BD459">
        <v>0</v>
      </c>
      <c r="BE459">
        <v>0</v>
      </c>
      <c r="BF459">
        <v>0</v>
      </c>
    </row>
    <row r="460" spans="54:58" x14ac:dyDescent="0.25">
      <c r="BB460">
        <v>0</v>
      </c>
      <c r="BC460">
        <v>0</v>
      </c>
      <c r="BD460">
        <v>0</v>
      </c>
      <c r="BE460">
        <v>0</v>
      </c>
      <c r="BF460">
        <v>0</v>
      </c>
    </row>
    <row r="461" spans="54:58" x14ac:dyDescent="0.25">
      <c r="BB461">
        <v>0</v>
      </c>
      <c r="BC461">
        <v>0</v>
      </c>
      <c r="BD461">
        <v>0</v>
      </c>
      <c r="BE461">
        <v>0</v>
      </c>
      <c r="BF461">
        <v>0</v>
      </c>
    </row>
    <row r="462" spans="54:58" x14ac:dyDescent="0.25">
      <c r="BB462">
        <v>0</v>
      </c>
      <c r="BC462">
        <v>0</v>
      </c>
      <c r="BD462">
        <v>0</v>
      </c>
      <c r="BE462">
        <v>0</v>
      </c>
      <c r="BF462">
        <v>0</v>
      </c>
    </row>
    <row r="463" spans="54:58" x14ac:dyDescent="0.25">
      <c r="BB463">
        <v>0</v>
      </c>
      <c r="BC463">
        <v>0</v>
      </c>
      <c r="BD463">
        <v>0</v>
      </c>
      <c r="BE463">
        <v>0</v>
      </c>
      <c r="BF463">
        <v>0</v>
      </c>
    </row>
    <row r="464" spans="54:58" x14ac:dyDescent="0.25">
      <c r="BB464">
        <v>0</v>
      </c>
      <c r="BC464">
        <v>0</v>
      </c>
      <c r="BD464">
        <v>0</v>
      </c>
      <c r="BE464">
        <v>0</v>
      </c>
      <c r="BF464">
        <v>0</v>
      </c>
    </row>
    <row r="465" spans="54:58" x14ac:dyDescent="0.25">
      <c r="BB465">
        <v>0</v>
      </c>
      <c r="BC465">
        <v>0</v>
      </c>
      <c r="BD465">
        <v>0</v>
      </c>
      <c r="BE465">
        <v>0</v>
      </c>
      <c r="BF465">
        <v>0</v>
      </c>
    </row>
    <row r="466" spans="54:58" x14ac:dyDescent="0.25">
      <c r="BB466">
        <v>0</v>
      </c>
      <c r="BC466">
        <v>0</v>
      </c>
      <c r="BD466">
        <v>0</v>
      </c>
      <c r="BE466">
        <v>0</v>
      </c>
      <c r="BF466">
        <v>0</v>
      </c>
    </row>
    <row r="467" spans="54:58" x14ac:dyDescent="0.25">
      <c r="BB467">
        <v>0</v>
      </c>
      <c r="BC467">
        <v>0</v>
      </c>
      <c r="BD467">
        <v>0</v>
      </c>
      <c r="BE467">
        <v>0</v>
      </c>
      <c r="BF467">
        <v>0</v>
      </c>
    </row>
    <row r="468" spans="54:58" x14ac:dyDescent="0.25">
      <c r="BB468">
        <v>0</v>
      </c>
      <c r="BC468">
        <v>0</v>
      </c>
      <c r="BD468">
        <v>0</v>
      </c>
      <c r="BE468">
        <v>0</v>
      </c>
      <c r="BF468">
        <v>0</v>
      </c>
    </row>
    <row r="469" spans="54:58" x14ac:dyDescent="0.25">
      <c r="BB469">
        <v>0</v>
      </c>
      <c r="BC469">
        <v>0</v>
      </c>
      <c r="BD469">
        <v>0</v>
      </c>
      <c r="BE469">
        <v>0</v>
      </c>
      <c r="BF469">
        <v>0</v>
      </c>
    </row>
    <row r="470" spans="54:58" x14ac:dyDescent="0.25">
      <c r="BB470">
        <v>0</v>
      </c>
      <c r="BC470">
        <v>0</v>
      </c>
      <c r="BD470">
        <v>0</v>
      </c>
      <c r="BE470">
        <v>0</v>
      </c>
      <c r="BF470">
        <v>0</v>
      </c>
    </row>
    <row r="471" spans="54:58" x14ac:dyDescent="0.25">
      <c r="BB471">
        <v>0</v>
      </c>
      <c r="BC471">
        <v>0</v>
      </c>
      <c r="BD471">
        <v>0</v>
      </c>
      <c r="BE471">
        <v>0</v>
      </c>
      <c r="BF471">
        <v>0</v>
      </c>
    </row>
    <row r="472" spans="54:58" x14ac:dyDescent="0.25">
      <c r="BB472">
        <v>0</v>
      </c>
      <c r="BC472">
        <v>0</v>
      </c>
      <c r="BD472">
        <v>0</v>
      </c>
      <c r="BE472">
        <v>0</v>
      </c>
      <c r="BF472">
        <v>0</v>
      </c>
    </row>
    <row r="473" spans="54:58" x14ac:dyDescent="0.25">
      <c r="BB473">
        <v>0</v>
      </c>
      <c r="BC473">
        <v>0</v>
      </c>
      <c r="BD473">
        <v>0</v>
      </c>
      <c r="BE473">
        <v>0</v>
      </c>
      <c r="BF473">
        <v>0</v>
      </c>
    </row>
    <row r="474" spans="54:58" x14ac:dyDescent="0.25">
      <c r="BB474">
        <v>0</v>
      </c>
      <c r="BC474">
        <v>0</v>
      </c>
      <c r="BD474">
        <v>0</v>
      </c>
      <c r="BE474">
        <v>0</v>
      </c>
      <c r="BF474">
        <v>0</v>
      </c>
    </row>
    <row r="475" spans="54:58" x14ac:dyDescent="0.25">
      <c r="BB475">
        <v>0</v>
      </c>
      <c r="BC475">
        <v>0</v>
      </c>
      <c r="BD475">
        <v>0</v>
      </c>
      <c r="BE475">
        <v>0</v>
      </c>
      <c r="BF475">
        <v>0</v>
      </c>
    </row>
    <row r="476" spans="54:58" x14ac:dyDescent="0.25">
      <c r="BB476">
        <v>0</v>
      </c>
      <c r="BC476">
        <v>0</v>
      </c>
      <c r="BD476">
        <v>0</v>
      </c>
      <c r="BE476">
        <v>0</v>
      </c>
      <c r="BF476">
        <v>0</v>
      </c>
    </row>
    <row r="477" spans="54:58" x14ac:dyDescent="0.25">
      <c r="BB477">
        <v>0</v>
      </c>
      <c r="BC477">
        <v>0</v>
      </c>
      <c r="BD477">
        <v>0</v>
      </c>
      <c r="BE477">
        <v>0</v>
      </c>
      <c r="BF477">
        <v>0</v>
      </c>
    </row>
    <row r="478" spans="54:58" x14ac:dyDescent="0.25">
      <c r="BB478">
        <v>0</v>
      </c>
      <c r="BC478">
        <v>0</v>
      </c>
      <c r="BD478">
        <v>0</v>
      </c>
      <c r="BE478">
        <v>0</v>
      </c>
      <c r="BF478">
        <v>0</v>
      </c>
    </row>
    <row r="479" spans="54:58" x14ac:dyDescent="0.25">
      <c r="BB479">
        <v>0</v>
      </c>
      <c r="BC479">
        <v>0</v>
      </c>
      <c r="BD479">
        <v>0</v>
      </c>
      <c r="BE479">
        <v>0</v>
      </c>
      <c r="BF479">
        <v>0</v>
      </c>
    </row>
    <row r="480" spans="54:58" x14ac:dyDescent="0.25">
      <c r="BB480">
        <v>0</v>
      </c>
      <c r="BC480">
        <v>0</v>
      </c>
      <c r="BD480">
        <v>0</v>
      </c>
      <c r="BE480">
        <v>0</v>
      </c>
      <c r="BF480">
        <v>0</v>
      </c>
    </row>
    <row r="481" spans="54:58" x14ac:dyDescent="0.25">
      <c r="BB481">
        <v>0</v>
      </c>
      <c r="BC481">
        <v>0</v>
      </c>
      <c r="BD481">
        <v>0</v>
      </c>
      <c r="BE481">
        <v>0</v>
      </c>
      <c r="BF481">
        <v>0</v>
      </c>
    </row>
    <row r="482" spans="54:58" x14ac:dyDescent="0.25">
      <c r="BB482">
        <v>0</v>
      </c>
      <c r="BC482">
        <v>0</v>
      </c>
      <c r="BD482">
        <v>0</v>
      </c>
      <c r="BE482">
        <v>0</v>
      </c>
      <c r="BF482">
        <v>0</v>
      </c>
    </row>
    <row r="483" spans="54:58" x14ac:dyDescent="0.25">
      <c r="BB483">
        <v>0</v>
      </c>
      <c r="BC483">
        <v>0</v>
      </c>
      <c r="BD483">
        <v>0</v>
      </c>
      <c r="BE483">
        <v>0</v>
      </c>
      <c r="BF483">
        <v>0</v>
      </c>
    </row>
    <row r="484" spans="54:58" x14ac:dyDescent="0.25">
      <c r="BB484">
        <v>0</v>
      </c>
      <c r="BC484">
        <v>0</v>
      </c>
      <c r="BD484">
        <v>0</v>
      </c>
      <c r="BE484">
        <v>0</v>
      </c>
      <c r="BF484">
        <v>0</v>
      </c>
    </row>
    <row r="485" spans="54:58" x14ac:dyDescent="0.25">
      <c r="BB485">
        <v>0</v>
      </c>
      <c r="BC485">
        <v>0</v>
      </c>
      <c r="BD485">
        <v>0</v>
      </c>
      <c r="BE485">
        <v>0</v>
      </c>
      <c r="BF485">
        <v>0</v>
      </c>
    </row>
    <row r="486" spans="54:58" x14ac:dyDescent="0.25">
      <c r="BB486">
        <v>0</v>
      </c>
      <c r="BC486">
        <v>0</v>
      </c>
      <c r="BD486">
        <v>0</v>
      </c>
      <c r="BE486">
        <v>0</v>
      </c>
      <c r="BF486">
        <v>0</v>
      </c>
    </row>
    <row r="487" spans="54:58" x14ac:dyDescent="0.25">
      <c r="BB487">
        <v>0</v>
      </c>
      <c r="BC487">
        <v>0</v>
      </c>
      <c r="BD487">
        <v>0</v>
      </c>
      <c r="BE487">
        <v>0</v>
      </c>
      <c r="BF487">
        <v>0</v>
      </c>
    </row>
    <row r="488" spans="54:58" x14ac:dyDescent="0.25">
      <c r="BB488">
        <v>0</v>
      </c>
      <c r="BC488">
        <v>0</v>
      </c>
      <c r="BD488">
        <v>0</v>
      </c>
      <c r="BE488">
        <v>0</v>
      </c>
      <c r="BF488">
        <v>0</v>
      </c>
    </row>
    <row r="489" spans="54:58" x14ac:dyDescent="0.25">
      <c r="BB489">
        <v>0</v>
      </c>
      <c r="BC489">
        <v>0</v>
      </c>
      <c r="BD489">
        <v>0</v>
      </c>
      <c r="BE489">
        <v>0</v>
      </c>
      <c r="BF489">
        <v>0</v>
      </c>
    </row>
    <row r="490" spans="54:58" x14ac:dyDescent="0.25">
      <c r="BB490">
        <v>0</v>
      </c>
      <c r="BC490">
        <v>0</v>
      </c>
      <c r="BD490">
        <v>0</v>
      </c>
      <c r="BE490">
        <v>0</v>
      </c>
      <c r="BF490">
        <v>0</v>
      </c>
    </row>
    <row r="491" spans="54:58" x14ac:dyDescent="0.25">
      <c r="BB491">
        <v>0</v>
      </c>
      <c r="BC491">
        <v>0</v>
      </c>
      <c r="BD491">
        <v>0</v>
      </c>
      <c r="BE491">
        <v>0</v>
      </c>
      <c r="BF491">
        <v>0</v>
      </c>
    </row>
    <row r="492" spans="54:58" x14ac:dyDescent="0.25">
      <c r="BB492">
        <v>0</v>
      </c>
      <c r="BC492">
        <v>0</v>
      </c>
      <c r="BD492">
        <v>0</v>
      </c>
      <c r="BE492">
        <v>0</v>
      </c>
      <c r="BF492">
        <v>0</v>
      </c>
    </row>
    <row r="493" spans="54:58" x14ac:dyDescent="0.25">
      <c r="BB493">
        <v>0</v>
      </c>
      <c r="BC493">
        <v>0</v>
      </c>
      <c r="BD493">
        <v>0</v>
      </c>
      <c r="BE493">
        <v>0</v>
      </c>
      <c r="BF493">
        <v>0</v>
      </c>
    </row>
    <row r="494" spans="54:58" x14ac:dyDescent="0.25">
      <c r="BB494">
        <v>0</v>
      </c>
      <c r="BC494">
        <v>0</v>
      </c>
      <c r="BD494">
        <v>0</v>
      </c>
      <c r="BE494">
        <v>0</v>
      </c>
      <c r="BF494">
        <v>0</v>
      </c>
    </row>
    <row r="495" spans="54:58" x14ac:dyDescent="0.25">
      <c r="BB495">
        <v>0</v>
      </c>
      <c r="BC495">
        <v>0</v>
      </c>
      <c r="BD495">
        <v>0</v>
      </c>
      <c r="BE495">
        <v>0</v>
      </c>
      <c r="BF495">
        <v>0</v>
      </c>
    </row>
    <row r="496" spans="54:58" x14ac:dyDescent="0.25">
      <c r="BB496">
        <v>0</v>
      </c>
      <c r="BC496">
        <v>0</v>
      </c>
      <c r="BD496">
        <v>0</v>
      </c>
      <c r="BE496">
        <v>0</v>
      </c>
      <c r="BF496">
        <v>0</v>
      </c>
    </row>
    <row r="497" spans="54:58" x14ac:dyDescent="0.25">
      <c r="BB497">
        <v>0</v>
      </c>
      <c r="BC497">
        <v>0</v>
      </c>
      <c r="BD497">
        <v>0</v>
      </c>
      <c r="BE497">
        <v>0</v>
      </c>
      <c r="BF497">
        <v>0</v>
      </c>
    </row>
    <row r="498" spans="54:58" x14ac:dyDescent="0.25">
      <c r="BB498">
        <v>0</v>
      </c>
      <c r="BC498">
        <v>0</v>
      </c>
      <c r="BD498">
        <v>0</v>
      </c>
      <c r="BE498">
        <v>0</v>
      </c>
      <c r="BF498">
        <v>0</v>
      </c>
    </row>
    <row r="499" spans="54:58" x14ac:dyDescent="0.25">
      <c r="BB499">
        <v>0</v>
      </c>
      <c r="BC499">
        <v>0</v>
      </c>
      <c r="BD499">
        <v>0</v>
      </c>
      <c r="BE499">
        <v>0</v>
      </c>
      <c r="BF499">
        <v>0</v>
      </c>
    </row>
    <row r="500" spans="54:58" x14ac:dyDescent="0.25">
      <c r="BB500">
        <v>0</v>
      </c>
      <c r="BC500">
        <v>0</v>
      </c>
      <c r="BD500">
        <v>0</v>
      </c>
      <c r="BE500">
        <v>0</v>
      </c>
      <c r="BF500">
        <v>0</v>
      </c>
    </row>
    <row r="501" spans="54:58" x14ac:dyDescent="0.25">
      <c r="BB501">
        <v>0</v>
      </c>
      <c r="BC501">
        <v>0</v>
      </c>
      <c r="BD501">
        <v>0</v>
      </c>
      <c r="BE501">
        <v>0</v>
      </c>
      <c r="BF501">
        <v>0</v>
      </c>
    </row>
    <row r="502" spans="54:58" x14ac:dyDescent="0.25">
      <c r="BB502">
        <v>0</v>
      </c>
      <c r="BC502">
        <v>0</v>
      </c>
      <c r="BD502">
        <v>0</v>
      </c>
      <c r="BE502">
        <v>0</v>
      </c>
      <c r="BF502">
        <v>0</v>
      </c>
    </row>
    <row r="503" spans="54:58" x14ac:dyDescent="0.25">
      <c r="BB503">
        <v>0</v>
      </c>
      <c r="BC503">
        <v>0</v>
      </c>
      <c r="BD503">
        <v>0</v>
      </c>
      <c r="BE503">
        <v>0</v>
      </c>
      <c r="BF503">
        <v>0</v>
      </c>
    </row>
    <row r="504" spans="54:58" x14ac:dyDescent="0.25">
      <c r="BB504">
        <v>0</v>
      </c>
      <c r="BC504">
        <v>0</v>
      </c>
      <c r="BD504">
        <v>0</v>
      </c>
      <c r="BE504">
        <v>0</v>
      </c>
      <c r="BF504">
        <v>0</v>
      </c>
    </row>
    <row r="505" spans="54:58" x14ac:dyDescent="0.25">
      <c r="BB505">
        <v>0</v>
      </c>
      <c r="BC505">
        <v>0</v>
      </c>
      <c r="BD505">
        <v>0</v>
      </c>
      <c r="BE505">
        <v>0</v>
      </c>
      <c r="BF505">
        <v>0</v>
      </c>
    </row>
    <row r="506" spans="54:58" x14ac:dyDescent="0.25">
      <c r="BB506">
        <v>0</v>
      </c>
      <c r="BC506">
        <v>0</v>
      </c>
      <c r="BD506">
        <v>0</v>
      </c>
      <c r="BE506">
        <v>0</v>
      </c>
      <c r="BF506">
        <v>0</v>
      </c>
    </row>
    <row r="507" spans="54:58" x14ac:dyDescent="0.25">
      <c r="BB507">
        <v>0</v>
      </c>
      <c r="BC507">
        <v>0</v>
      </c>
      <c r="BD507">
        <v>0</v>
      </c>
      <c r="BE507">
        <v>0</v>
      </c>
      <c r="BF507">
        <v>0</v>
      </c>
    </row>
    <row r="508" spans="54:58" x14ac:dyDescent="0.25">
      <c r="BB508">
        <v>0</v>
      </c>
      <c r="BC508">
        <v>0</v>
      </c>
      <c r="BD508">
        <v>0</v>
      </c>
      <c r="BE508">
        <v>0</v>
      </c>
      <c r="BF508">
        <v>0</v>
      </c>
    </row>
    <row r="509" spans="54:58" x14ac:dyDescent="0.25">
      <c r="BB509">
        <v>0</v>
      </c>
      <c r="BC509">
        <v>0</v>
      </c>
      <c r="BD509">
        <v>0</v>
      </c>
      <c r="BE509">
        <v>0</v>
      </c>
      <c r="BF509">
        <v>0</v>
      </c>
    </row>
    <row r="510" spans="54:58" x14ac:dyDescent="0.25">
      <c r="BB510">
        <v>0</v>
      </c>
      <c r="BC510">
        <v>0</v>
      </c>
      <c r="BD510">
        <v>0</v>
      </c>
      <c r="BE510">
        <v>0</v>
      </c>
      <c r="BF510">
        <v>0</v>
      </c>
    </row>
    <row r="511" spans="54:58" x14ac:dyDescent="0.25">
      <c r="BB511">
        <v>0</v>
      </c>
      <c r="BC511">
        <v>0</v>
      </c>
      <c r="BD511">
        <v>0</v>
      </c>
      <c r="BE511">
        <v>0</v>
      </c>
      <c r="BF511">
        <v>0</v>
      </c>
    </row>
    <row r="512" spans="54:58" x14ac:dyDescent="0.25">
      <c r="BB512">
        <v>0</v>
      </c>
      <c r="BC512">
        <v>0</v>
      </c>
      <c r="BD512">
        <v>0</v>
      </c>
      <c r="BE512">
        <v>0</v>
      </c>
      <c r="BF512">
        <v>0</v>
      </c>
    </row>
    <row r="513" spans="54:58" x14ac:dyDescent="0.25">
      <c r="BB513">
        <v>0</v>
      </c>
      <c r="BC513">
        <v>0</v>
      </c>
      <c r="BD513">
        <v>0</v>
      </c>
      <c r="BE513">
        <v>0</v>
      </c>
      <c r="BF513">
        <v>0</v>
      </c>
    </row>
    <row r="514" spans="54:58" x14ac:dyDescent="0.25">
      <c r="BB514">
        <v>0</v>
      </c>
      <c r="BC514">
        <v>0</v>
      </c>
      <c r="BD514">
        <v>0</v>
      </c>
      <c r="BE514">
        <v>0</v>
      </c>
      <c r="BF514">
        <v>0</v>
      </c>
    </row>
    <row r="515" spans="54:58" x14ac:dyDescent="0.25">
      <c r="BB515">
        <v>0</v>
      </c>
      <c r="BC515">
        <v>0</v>
      </c>
      <c r="BD515">
        <v>0</v>
      </c>
      <c r="BE515">
        <v>0</v>
      </c>
      <c r="BF515">
        <v>0</v>
      </c>
    </row>
    <row r="516" spans="54:58" x14ac:dyDescent="0.25">
      <c r="BB516">
        <v>0</v>
      </c>
      <c r="BC516">
        <v>0</v>
      </c>
      <c r="BD516">
        <v>0</v>
      </c>
      <c r="BE516">
        <v>0</v>
      </c>
      <c r="BF516">
        <v>0</v>
      </c>
    </row>
    <row r="517" spans="54:58" x14ac:dyDescent="0.25">
      <c r="BB517">
        <v>0</v>
      </c>
      <c r="BC517">
        <v>0</v>
      </c>
      <c r="BD517">
        <v>0</v>
      </c>
      <c r="BE517">
        <v>0</v>
      </c>
      <c r="BF517">
        <v>0</v>
      </c>
    </row>
    <row r="518" spans="54:58" x14ac:dyDescent="0.25">
      <c r="BB518">
        <v>0</v>
      </c>
      <c r="BC518">
        <v>0</v>
      </c>
      <c r="BD518">
        <v>0</v>
      </c>
      <c r="BE518">
        <v>0</v>
      </c>
      <c r="BF518">
        <v>0</v>
      </c>
    </row>
    <row r="519" spans="54:58" x14ac:dyDescent="0.25">
      <c r="BB519">
        <v>0</v>
      </c>
      <c r="BC519">
        <v>0</v>
      </c>
      <c r="BD519">
        <v>0</v>
      </c>
      <c r="BE519">
        <v>0</v>
      </c>
      <c r="BF519">
        <v>0</v>
      </c>
    </row>
    <row r="520" spans="54:58" x14ac:dyDescent="0.25">
      <c r="BB520">
        <v>0</v>
      </c>
      <c r="BC520">
        <v>0</v>
      </c>
      <c r="BD520">
        <v>0</v>
      </c>
      <c r="BE520">
        <v>0</v>
      </c>
      <c r="BF520">
        <v>0</v>
      </c>
    </row>
    <row r="521" spans="54:58" x14ac:dyDescent="0.25">
      <c r="BB521">
        <v>0</v>
      </c>
      <c r="BC521">
        <v>0</v>
      </c>
      <c r="BD521">
        <v>0</v>
      </c>
      <c r="BE521">
        <v>0</v>
      </c>
      <c r="BF521">
        <v>0</v>
      </c>
    </row>
    <row r="522" spans="54:58" x14ac:dyDescent="0.25">
      <c r="BB522">
        <v>0</v>
      </c>
      <c r="BC522">
        <v>0</v>
      </c>
      <c r="BD522">
        <v>0</v>
      </c>
      <c r="BE522">
        <v>0</v>
      </c>
      <c r="BF522">
        <v>0</v>
      </c>
    </row>
    <row r="523" spans="54:58" x14ac:dyDescent="0.25">
      <c r="BB523">
        <v>0</v>
      </c>
      <c r="BC523">
        <v>0</v>
      </c>
      <c r="BD523">
        <v>0</v>
      </c>
      <c r="BE523">
        <v>0</v>
      </c>
      <c r="BF523">
        <v>0</v>
      </c>
    </row>
    <row r="524" spans="54:58" x14ac:dyDescent="0.25">
      <c r="BB524">
        <v>0</v>
      </c>
      <c r="BC524">
        <v>0</v>
      </c>
      <c r="BD524">
        <v>0</v>
      </c>
      <c r="BE524">
        <v>0</v>
      </c>
      <c r="BF524">
        <v>0</v>
      </c>
    </row>
    <row r="525" spans="54:58" x14ac:dyDescent="0.25">
      <c r="BB525">
        <v>0</v>
      </c>
      <c r="BC525">
        <v>0</v>
      </c>
      <c r="BD525">
        <v>0</v>
      </c>
      <c r="BE525">
        <v>0</v>
      </c>
      <c r="BF525">
        <v>0</v>
      </c>
    </row>
    <row r="526" spans="54:58" x14ac:dyDescent="0.25">
      <c r="BB526">
        <v>0</v>
      </c>
      <c r="BC526">
        <v>0</v>
      </c>
      <c r="BD526">
        <v>0</v>
      </c>
      <c r="BE526">
        <v>0</v>
      </c>
      <c r="BF526">
        <v>0</v>
      </c>
    </row>
    <row r="527" spans="54:58" x14ac:dyDescent="0.25">
      <c r="BB527">
        <v>0</v>
      </c>
      <c r="BC527">
        <v>0</v>
      </c>
      <c r="BD527">
        <v>0</v>
      </c>
      <c r="BE527">
        <v>0</v>
      </c>
      <c r="BF527">
        <v>0</v>
      </c>
    </row>
    <row r="528" spans="54:58" x14ac:dyDescent="0.25">
      <c r="BB528">
        <v>0</v>
      </c>
      <c r="BC528">
        <v>0</v>
      </c>
      <c r="BD528">
        <v>0</v>
      </c>
      <c r="BE528">
        <v>0</v>
      </c>
      <c r="BF528">
        <v>0</v>
      </c>
    </row>
    <row r="529" spans="54:58" x14ac:dyDescent="0.25">
      <c r="BB529">
        <v>0</v>
      </c>
      <c r="BC529">
        <v>0</v>
      </c>
      <c r="BD529">
        <v>0</v>
      </c>
      <c r="BE529">
        <v>0</v>
      </c>
      <c r="BF529">
        <v>0</v>
      </c>
    </row>
    <row r="530" spans="54:58" x14ac:dyDescent="0.25">
      <c r="BB530">
        <v>0</v>
      </c>
      <c r="BC530">
        <v>0</v>
      </c>
      <c r="BD530">
        <v>0</v>
      </c>
      <c r="BE530">
        <v>0</v>
      </c>
      <c r="BF530">
        <v>0</v>
      </c>
    </row>
    <row r="531" spans="54:58" x14ac:dyDescent="0.25">
      <c r="BB531">
        <v>0</v>
      </c>
      <c r="BC531">
        <v>0</v>
      </c>
      <c r="BD531">
        <v>0</v>
      </c>
      <c r="BE531">
        <v>0</v>
      </c>
      <c r="BF531">
        <v>0</v>
      </c>
    </row>
    <row r="532" spans="54:58" x14ac:dyDescent="0.25">
      <c r="BB532">
        <v>0</v>
      </c>
      <c r="BC532">
        <v>0</v>
      </c>
      <c r="BD532">
        <v>0</v>
      </c>
      <c r="BE532">
        <v>0</v>
      </c>
      <c r="BF532">
        <v>0</v>
      </c>
    </row>
    <row r="533" spans="54:58" x14ac:dyDescent="0.25">
      <c r="BB533">
        <v>0</v>
      </c>
      <c r="BC533">
        <v>0</v>
      </c>
      <c r="BD533">
        <v>0</v>
      </c>
      <c r="BE533">
        <v>0</v>
      </c>
      <c r="BF533">
        <v>0</v>
      </c>
    </row>
    <row r="534" spans="54:58" x14ac:dyDescent="0.25">
      <c r="BB534">
        <v>0</v>
      </c>
      <c r="BC534">
        <v>0</v>
      </c>
      <c r="BD534">
        <v>0</v>
      </c>
      <c r="BE534">
        <v>0</v>
      </c>
      <c r="BF534">
        <v>0</v>
      </c>
    </row>
    <row r="535" spans="54:58" x14ac:dyDescent="0.25">
      <c r="BB535">
        <v>0</v>
      </c>
      <c r="BC535">
        <v>0</v>
      </c>
      <c r="BD535">
        <v>0</v>
      </c>
      <c r="BE535">
        <v>0</v>
      </c>
      <c r="BF535">
        <v>0</v>
      </c>
    </row>
    <row r="536" spans="54:58" x14ac:dyDescent="0.25">
      <c r="BB536">
        <v>0</v>
      </c>
      <c r="BC536">
        <v>0</v>
      </c>
      <c r="BD536">
        <v>0</v>
      </c>
      <c r="BE536">
        <v>0</v>
      </c>
      <c r="BF536">
        <v>0</v>
      </c>
    </row>
    <row r="537" spans="54:58" x14ac:dyDescent="0.25">
      <c r="BB537">
        <v>0</v>
      </c>
      <c r="BC537">
        <v>0</v>
      </c>
      <c r="BD537">
        <v>0</v>
      </c>
      <c r="BE537">
        <v>0</v>
      </c>
      <c r="BF537">
        <v>0</v>
      </c>
    </row>
    <row r="538" spans="54:58" x14ac:dyDescent="0.25">
      <c r="BB538">
        <v>0</v>
      </c>
      <c r="BC538">
        <v>0</v>
      </c>
      <c r="BD538">
        <v>0</v>
      </c>
      <c r="BE538">
        <v>0</v>
      </c>
      <c r="BF538">
        <v>0</v>
      </c>
    </row>
    <row r="539" spans="54:58" x14ac:dyDescent="0.25">
      <c r="BB539">
        <v>0</v>
      </c>
      <c r="BC539">
        <v>0</v>
      </c>
      <c r="BD539">
        <v>0</v>
      </c>
      <c r="BE539">
        <v>0</v>
      </c>
      <c r="BF539">
        <v>0</v>
      </c>
    </row>
    <row r="540" spans="54:58" x14ac:dyDescent="0.25">
      <c r="BB540">
        <v>0</v>
      </c>
      <c r="BC540">
        <v>0</v>
      </c>
      <c r="BD540">
        <v>0</v>
      </c>
      <c r="BE540">
        <v>0</v>
      </c>
      <c r="BF540">
        <v>0</v>
      </c>
    </row>
    <row r="541" spans="54:58" x14ac:dyDescent="0.25">
      <c r="BB541">
        <v>0</v>
      </c>
      <c r="BC541">
        <v>0</v>
      </c>
      <c r="BD541">
        <v>0</v>
      </c>
      <c r="BE541">
        <v>0</v>
      </c>
      <c r="BF541">
        <v>0</v>
      </c>
    </row>
    <row r="542" spans="54:58" x14ac:dyDescent="0.25">
      <c r="BB542">
        <v>0</v>
      </c>
      <c r="BC542">
        <v>0</v>
      </c>
      <c r="BD542">
        <v>0</v>
      </c>
      <c r="BE542">
        <v>0</v>
      </c>
      <c r="BF542">
        <v>0</v>
      </c>
    </row>
    <row r="543" spans="54:58" x14ac:dyDescent="0.25">
      <c r="BB543">
        <v>0</v>
      </c>
      <c r="BC543">
        <v>0</v>
      </c>
      <c r="BD543">
        <v>0</v>
      </c>
      <c r="BE543">
        <v>0</v>
      </c>
      <c r="BF543">
        <v>0</v>
      </c>
    </row>
    <row r="544" spans="54:58" x14ac:dyDescent="0.25">
      <c r="BB544">
        <v>0</v>
      </c>
      <c r="BC544">
        <v>0</v>
      </c>
      <c r="BD544">
        <v>0</v>
      </c>
      <c r="BE544">
        <v>0</v>
      </c>
      <c r="BF544">
        <v>0</v>
      </c>
    </row>
    <row r="545" spans="54:58" x14ac:dyDescent="0.25">
      <c r="BB545">
        <v>0</v>
      </c>
      <c r="BC545">
        <v>0</v>
      </c>
      <c r="BD545">
        <v>0</v>
      </c>
      <c r="BE545">
        <v>0</v>
      </c>
      <c r="BF545">
        <v>0</v>
      </c>
    </row>
    <row r="546" spans="54:58" x14ac:dyDescent="0.25">
      <c r="BB546">
        <v>0</v>
      </c>
      <c r="BC546">
        <v>0</v>
      </c>
      <c r="BD546">
        <v>0</v>
      </c>
      <c r="BE546">
        <v>0</v>
      </c>
      <c r="BF546">
        <v>0</v>
      </c>
    </row>
    <row r="547" spans="54:58" x14ac:dyDescent="0.25">
      <c r="BB547">
        <v>0</v>
      </c>
      <c r="BC547">
        <v>0</v>
      </c>
      <c r="BD547">
        <v>0</v>
      </c>
      <c r="BE547">
        <v>0</v>
      </c>
      <c r="BF547">
        <v>0</v>
      </c>
    </row>
    <row r="548" spans="54:58" x14ac:dyDescent="0.25">
      <c r="BB548">
        <v>0</v>
      </c>
      <c r="BC548">
        <v>0</v>
      </c>
      <c r="BD548">
        <v>0</v>
      </c>
      <c r="BE548">
        <v>0</v>
      </c>
      <c r="BF548">
        <v>0</v>
      </c>
    </row>
    <row r="549" spans="54:58" x14ac:dyDescent="0.25">
      <c r="BB549">
        <v>0</v>
      </c>
      <c r="BC549">
        <v>0</v>
      </c>
      <c r="BD549">
        <v>0</v>
      </c>
      <c r="BE549">
        <v>0</v>
      </c>
      <c r="BF549">
        <v>0</v>
      </c>
    </row>
    <row r="550" spans="54:58" x14ac:dyDescent="0.25">
      <c r="BB550">
        <v>0</v>
      </c>
      <c r="BC550">
        <v>0</v>
      </c>
      <c r="BD550">
        <v>0</v>
      </c>
      <c r="BE550">
        <v>0</v>
      </c>
      <c r="BF550">
        <v>0</v>
      </c>
    </row>
    <row r="551" spans="54:58" x14ac:dyDescent="0.25">
      <c r="BB551">
        <v>0</v>
      </c>
      <c r="BC551">
        <v>0</v>
      </c>
      <c r="BD551">
        <v>0</v>
      </c>
      <c r="BE551">
        <v>0</v>
      </c>
      <c r="BF551">
        <v>0</v>
      </c>
    </row>
    <row r="552" spans="54:58" x14ac:dyDescent="0.25">
      <c r="BB552">
        <v>0</v>
      </c>
      <c r="BC552">
        <v>0</v>
      </c>
      <c r="BD552">
        <v>0</v>
      </c>
      <c r="BE552">
        <v>0</v>
      </c>
      <c r="BF552">
        <v>0</v>
      </c>
    </row>
    <row r="553" spans="54:58" x14ac:dyDescent="0.25">
      <c r="BB553">
        <v>0</v>
      </c>
      <c r="BC553">
        <v>0</v>
      </c>
      <c r="BD553">
        <v>0</v>
      </c>
      <c r="BE553">
        <v>0</v>
      </c>
      <c r="BF553">
        <v>0</v>
      </c>
    </row>
    <row r="554" spans="54:58" x14ac:dyDescent="0.25">
      <c r="BB554">
        <v>0</v>
      </c>
      <c r="BC554">
        <v>0</v>
      </c>
      <c r="BD554">
        <v>0</v>
      </c>
      <c r="BE554">
        <v>0</v>
      </c>
      <c r="BF554">
        <v>0</v>
      </c>
    </row>
    <row r="555" spans="54:58" x14ac:dyDescent="0.25">
      <c r="BB555">
        <v>0</v>
      </c>
      <c r="BC555">
        <v>0</v>
      </c>
      <c r="BD555">
        <v>0</v>
      </c>
      <c r="BE555">
        <v>0</v>
      </c>
      <c r="BF555">
        <v>0</v>
      </c>
    </row>
    <row r="556" spans="54:58" x14ac:dyDescent="0.25">
      <c r="BB556">
        <v>0</v>
      </c>
      <c r="BC556">
        <v>0</v>
      </c>
      <c r="BD556">
        <v>0</v>
      </c>
      <c r="BE556">
        <v>0</v>
      </c>
      <c r="BF556">
        <v>0</v>
      </c>
    </row>
    <row r="557" spans="54:58" x14ac:dyDescent="0.25">
      <c r="BB557">
        <v>0</v>
      </c>
      <c r="BC557">
        <v>0</v>
      </c>
      <c r="BD557">
        <v>0</v>
      </c>
      <c r="BE557">
        <v>0</v>
      </c>
      <c r="BF557">
        <v>0</v>
      </c>
    </row>
    <row r="558" spans="54:58" x14ac:dyDescent="0.25">
      <c r="BB558">
        <v>0</v>
      </c>
      <c r="BC558">
        <v>0</v>
      </c>
      <c r="BD558">
        <v>0</v>
      </c>
      <c r="BE558">
        <v>0</v>
      </c>
      <c r="BF558">
        <v>0</v>
      </c>
    </row>
    <row r="559" spans="54:58" x14ac:dyDescent="0.25">
      <c r="BB559">
        <v>0</v>
      </c>
      <c r="BC559">
        <v>0</v>
      </c>
      <c r="BD559">
        <v>0</v>
      </c>
      <c r="BE559">
        <v>0</v>
      </c>
      <c r="BF559">
        <v>0</v>
      </c>
    </row>
    <row r="560" spans="54:58" x14ac:dyDescent="0.25">
      <c r="BB560">
        <v>0</v>
      </c>
      <c r="BC560">
        <v>0</v>
      </c>
      <c r="BD560">
        <v>0</v>
      </c>
      <c r="BE560">
        <v>0</v>
      </c>
      <c r="BF560">
        <v>0</v>
      </c>
    </row>
    <row r="561" spans="54:58" x14ac:dyDescent="0.25">
      <c r="BB561">
        <v>0</v>
      </c>
      <c r="BC561">
        <v>0</v>
      </c>
      <c r="BD561">
        <v>0</v>
      </c>
      <c r="BE561">
        <v>0</v>
      </c>
      <c r="BF561">
        <v>0</v>
      </c>
    </row>
    <row r="562" spans="54:58" x14ac:dyDescent="0.25">
      <c r="BB562">
        <v>0</v>
      </c>
      <c r="BC562">
        <v>0</v>
      </c>
      <c r="BD562">
        <v>0</v>
      </c>
      <c r="BE562">
        <v>0</v>
      </c>
      <c r="BF562">
        <v>0</v>
      </c>
    </row>
    <row r="563" spans="54:58" x14ac:dyDescent="0.25">
      <c r="BB563">
        <v>0</v>
      </c>
      <c r="BC563">
        <v>0</v>
      </c>
      <c r="BD563">
        <v>0</v>
      </c>
      <c r="BE563">
        <v>0</v>
      </c>
      <c r="BF563">
        <v>0</v>
      </c>
    </row>
    <row r="564" spans="54:58" x14ac:dyDescent="0.25">
      <c r="BB564">
        <v>0</v>
      </c>
      <c r="BC564">
        <v>0</v>
      </c>
      <c r="BD564">
        <v>0</v>
      </c>
      <c r="BE564">
        <v>0</v>
      </c>
      <c r="BF564">
        <v>0</v>
      </c>
    </row>
    <row r="565" spans="54:58" x14ac:dyDescent="0.25">
      <c r="BB565">
        <v>0</v>
      </c>
      <c r="BC565">
        <v>0</v>
      </c>
      <c r="BD565">
        <v>0</v>
      </c>
      <c r="BE565">
        <v>0</v>
      </c>
      <c r="BF565">
        <v>0</v>
      </c>
    </row>
    <row r="566" spans="54:58" x14ac:dyDescent="0.25">
      <c r="BB566">
        <v>0</v>
      </c>
      <c r="BC566">
        <v>0</v>
      </c>
      <c r="BD566">
        <v>0</v>
      </c>
      <c r="BE566">
        <v>0</v>
      </c>
      <c r="BF566">
        <v>0</v>
      </c>
    </row>
    <row r="567" spans="54:58" x14ac:dyDescent="0.25">
      <c r="BB567">
        <v>0</v>
      </c>
      <c r="BC567">
        <v>0</v>
      </c>
      <c r="BD567">
        <v>0</v>
      </c>
      <c r="BE567">
        <v>0</v>
      </c>
      <c r="BF567">
        <v>0</v>
      </c>
    </row>
    <row r="568" spans="54:58" x14ac:dyDescent="0.25">
      <c r="BB568">
        <v>0</v>
      </c>
      <c r="BC568">
        <v>0</v>
      </c>
      <c r="BD568">
        <v>0</v>
      </c>
      <c r="BE568">
        <v>0</v>
      </c>
      <c r="BF568">
        <v>0</v>
      </c>
    </row>
    <row r="569" spans="54:58" x14ac:dyDescent="0.25">
      <c r="BB569">
        <v>0</v>
      </c>
      <c r="BC569">
        <v>0</v>
      </c>
      <c r="BD569">
        <v>0</v>
      </c>
      <c r="BE569">
        <v>0</v>
      </c>
      <c r="BF569">
        <v>0</v>
      </c>
    </row>
    <row r="570" spans="54:58" x14ac:dyDescent="0.25">
      <c r="BB570">
        <v>0</v>
      </c>
      <c r="BC570">
        <v>0</v>
      </c>
      <c r="BD570">
        <v>0</v>
      </c>
      <c r="BE570">
        <v>0</v>
      </c>
      <c r="BF570">
        <v>0</v>
      </c>
    </row>
    <row r="571" spans="54:58" x14ac:dyDescent="0.25">
      <c r="BB571">
        <v>0</v>
      </c>
      <c r="BC571">
        <v>0</v>
      </c>
      <c r="BD571">
        <v>0</v>
      </c>
      <c r="BE571">
        <v>0</v>
      </c>
      <c r="BF571">
        <v>0</v>
      </c>
    </row>
    <row r="572" spans="54:58" x14ac:dyDescent="0.25">
      <c r="BB572">
        <v>0</v>
      </c>
      <c r="BC572">
        <v>0</v>
      </c>
      <c r="BD572">
        <v>0</v>
      </c>
      <c r="BE572">
        <v>0</v>
      </c>
      <c r="BF572">
        <v>0</v>
      </c>
    </row>
    <row r="573" spans="54:58" x14ac:dyDescent="0.25">
      <c r="BB573">
        <v>0</v>
      </c>
      <c r="BC573">
        <v>0</v>
      </c>
      <c r="BD573">
        <v>0</v>
      </c>
      <c r="BE573">
        <v>0</v>
      </c>
      <c r="BF573">
        <v>0</v>
      </c>
    </row>
    <row r="574" spans="54:58" x14ac:dyDescent="0.25">
      <c r="BB574">
        <v>0</v>
      </c>
      <c r="BC574">
        <v>0</v>
      </c>
      <c r="BD574">
        <v>0</v>
      </c>
      <c r="BE574">
        <v>0</v>
      </c>
      <c r="BF574">
        <v>0</v>
      </c>
    </row>
    <row r="575" spans="54:58" x14ac:dyDescent="0.25">
      <c r="BB575">
        <v>0</v>
      </c>
      <c r="BC575">
        <v>0</v>
      </c>
      <c r="BD575">
        <v>0</v>
      </c>
      <c r="BE575">
        <v>0</v>
      </c>
      <c r="BF575">
        <v>0</v>
      </c>
    </row>
    <row r="576" spans="54:58" x14ac:dyDescent="0.25">
      <c r="BB576">
        <v>0</v>
      </c>
      <c r="BC576">
        <v>0</v>
      </c>
      <c r="BD576">
        <v>0</v>
      </c>
      <c r="BE576">
        <v>0</v>
      </c>
      <c r="BF576">
        <v>0</v>
      </c>
    </row>
    <row r="577" spans="54:58" x14ac:dyDescent="0.25">
      <c r="BB577">
        <v>0</v>
      </c>
      <c r="BC577">
        <v>0</v>
      </c>
      <c r="BD577">
        <v>0</v>
      </c>
      <c r="BE577">
        <v>0</v>
      </c>
      <c r="BF577">
        <v>0</v>
      </c>
    </row>
    <row r="578" spans="54:58" x14ac:dyDescent="0.25">
      <c r="BB578">
        <v>0</v>
      </c>
      <c r="BC578">
        <v>0</v>
      </c>
      <c r="BD578">
        <v>0</v>
      </c>
      <c r="BE578">
        <v>0</v>
      </c>
      <c r="BF578">
        <v>0</v>
      </c>
    </row>
    <row r="579" spans="54:58" x14ac:dyDescent="0.25">
      <c r="BB579">
        <v>0</v>
      </c>
      <c r="BC579">
        <v>0</v>
      </c>
      <c r="BD579">
        <v>0</v>
      </c>
      <c r="BE579">
        <v>0</v>
      </c>
      <c r="BF579">
        <v>0</v>
      </c>
    </row>
    <row r="580" spans="54:58" x14ac:dyDescent="0.25">
      <c r="BB580">
        <v>0</v>
      </c>
      <c r="BC580">
        <v>0</v>
      </c>
      <c r="BD580">
        <v>0</v>
      </c>
      <c r="BE580">
        <v>0</v>
      </c>
      <c r="BF580">
        <v>0</v>
      </c>
    </row>
    <row r="581" spans="54:58" x14ac:dyDescent="0.25">
      <c r="BB581">
        <v>0</v>
      </c>
      <c r="BC581">
        <v>0</v>
      </c>
      <c r="BD581">
        <v>0</v>
      </c>
      <c r="BE581">
        <v>0</v>
      </c>
      <c r="BF581">
        <v>0</v>
      </c>
    </row>
    <row r="582" spans="54:58" x14ac:dyDescent="0.25">
      <c r="BB582">
        <v>0</v>
      </c>
      <c r="BC582">
        <v>0</v>
      </c>
      <c r="BD582">
        <v>0</v>
      </c>
      <c r="BE582">
        <v>0</v>
      </c>
      <c r="BF582">
        <v>0</v>
      </c>
    </row>
    <row r="583" spans="54:58" x14ac:dyDescent="0.25">
      <c r="BB583">
        <v>0</v>
      </c>
      <c r="BC583">
        <v>0</v>
      </c>
      <c r="BD583">
        <v>0</v>
      </c>
      <c r="BE583">
        <v>0</v>
      </c>
      <c r="BF583">
        <v>0</v>
      </c>
    </row>
    <row r="584" spans="54:58" x14ac:dyDescent="0.25">
      <c r="BB584">
        <v>0</v>
      </c>
      <c r="BC584">
        <v>0</v>
      </c>
      <c r="BD584">
        <v>0</v>
      </c>
      <c r="BE584">
        <v>0</v>
      </c>
      <c r="BF584">
        <v>0</v>
      </c>
    </row>
    <row r="585" spans="54:58" x14ac:dyDescent="0.25">
      <c r="BB585">
        <v>0</v>
      </c>
      <c r="BC585">
        <v>0</v>
      </c>
      <c r="BD585">
        <v>0</v>
      </c>
      <c r="BE585">
        <v>0</v>
      </c>
      <c r="BF585">
        <v>0</v>
      </c>
    </row>
    <row r="586" spans="54:58" x14ac:dyDescent="0.25">
      <c r="BB586">
        <v>0</v>
      </c>
      <c r="BC586">
        <v>0</v>
      </c>
      <c r="BD586">
        <v>0</v>
      </c>
      <c r="BE586">
        <v>0</v>
      </c>
      <c r="BF586">
        <v>0</v>
      </c>
    </row>
    <row r="587" spans="54:58" x14ac:dyDescent="0.25">
      <c r="BB587">
        <v>0</v>
      </c>
      <c r="BC587">
        <v>0</v>
      </c>
      <c r="BD587">
        <v>0</v>
      </c>
      <c r="BE587">
        <v>0</v>
      </c>
      <c r="BF587">
        <v>0</v>
      </c>
    </row>
    <row r="588" spans="54:58" x14ac:dyDescent="0.25">
      <c r="BB588">
        <v>0</v>
      </c>
      <c r="BC588">
        <v>0</v>
      </c>
      <c r="BD588">
        <v>0</v>
      </c>
      <c r="BE588">
        <v>0</v>
      </c>
      <c r="BF588">
        <v>0</v>
      </c>
    </row>
    <row r="589" spans="54:58" x14ac:dyDescent="0.25">
      <c r="BB589">
        <v>0</v>
      </c>
      <c r="BC589">
        <v>0</v>
      </c>
      <c r="BD589">
        <v>0</v>
      </c>
      <c r="BE589">
        <v>0</v>
      </c>
      <c r="BF589">
        <v>0</v>
      </c>
    </row>
    <row r="590" spans="54:58" x14ac:dyDescent="0.25">
      <c r="BB590">
        <v>0</v>
      </c>
      <c r="BC590">
        <v>0</v>
      </c>
      <c r="BD590">
        <v>0</v>
      </c>
      <c r="BE590">
        <v>0</v>
      </c>
      <c r="BF590">
        <v>0</v>
      </c>
    </row>
    <row r="591" spans="54:58" x14ac:dyDescent="0.25">
      <c r="BB591">
        <v>0</v>
      </c>
      <c r="BC591">
        <v>0</v>
      </c>
      <c r="BD591">
        <v>0</v>
      </c>
      <c r="BE591">
        <v>0</v>
      </c>
      <c r="BF591">
        <v>0</v>
      </c>
    </row>
    <row r="592" spans="54:58" x14ac:dyDescent="0.25">
      <c r="BB592">
        <v>0</v>
      </c>
      <c r="BC592">
        <v>0</v>
      </c>
      <c r="BD592">
        <v>0</v>
      </c>
      <c r="BE592">
        <v>0</v>
      </c>
      <c r="BF592">
        <v>0</v>
      </c>
    </row>
    <row r="593" spans="54:58" x14ac:dyDescent="0.25">
      <c r="BB593">
        <v>0</v>
      </c>
      <c r="BC593">
        <v>0</v>
      </c>
      <c r="BD593">
        <v>0</v>
      </c>
      <c r="BE593">
        <v>0</v>
      </c>
      <c r="BF593">
        <v>0</v>
      </c>
    </row>
    <row r="594" spans="54:58" x14ac:dyDescent="0.25">
      <c r="BB594">
        <v>0</v>
      </c>
      <c r="BC594">
        <v>0</v>
      </c>
      <c r="BD594">
        <v>0</v>
      </c>
      <c r="BE594">
        <v>0</v>
      </c>
      <c r="BF594">
        <v>0</v>
      </c>
    </row>
    <row r="595" spans="54:58" x14ac:dyDescent="0.25">
      <c r="BB595">
        <v>0</v>
      </c>
      <c r="BC595">
        <v>0</v>
      </c>
      <c r="BD595">
        <v>0</v>
      </c>
      <c r="BE595">
        <v>0</v>
      </c>
      <c r="BF595">
        <v>0</v>
      </c>
    </row>
    <row r="596" spans="54:58" x14ac:dyDescent="0.25">
      <c r="BB596">
        <v>0</v>
      </c>
      <c r="BC596">
        <v>0</v>
      </c>
      <c r="BD596">
        <v>0</v>
      </c>
      <c r="BE596">
        <v>0</v>
      </c>
      <c r="BF596">
        <v>0</v>
      </c>
    </row>
    <row r="597" spans="54:58" x14ac:dyDescent="0.25">
      <c r="BB597">
        <v>0</v>
      </c>
      <c r="BC597">
        <v>0</v>
      </c>
      <c r="BD597">
        <v>0</v>
      </c>
      <c r="BE597">
        <v>0</v>
      </c>
      <c r="BF597">
        <v>0</v>
      </c>
    </row>
    <row r="598" spans="54:58" x14ac:dyDescent="0.25">
      <c r="BB598">
        <v>0</v>
      </c>
      <c r="BC598">
        <v>0</v>
      </c>
      <c r="BD598">
        <v>0</v>
      </c>
      <c r="BE598">
        <v>0</v>
      </c>
      <c r="BF598">
        <v>0</v>
      </c>
    </row>
    <row r="599" spans="54:58" x14ac:dyDescent="0.25">
      <c r="BB599">
        <v>0</v>
      </c>
      <c r="BC599">
        <v>0</v>
      </c>
      <c r="BD599">
        <v>0</v>
      </c>
      <c r="BE599">
        <v>0</v>
      </c>
      <c r="BF599">
        <v>0</v>
      </c>
    </row>
    <row r="600" spans="54:58" x14ac:dyDescent="0.25">
      <c r="BB600">
        <v>0</v>
      </c>
      <c r="BC600">
        <v>0</v>
      </c>
      <c r="BD600">
        <v>0</v>
      </c>
      <c r="BE600">
        <v>0</v>
      </c>
      <c r="BF600">
        <v>0</v>
      </c>
    </row>
    <row r="601" spans="54:58" x14ac:dyDescent="0.25">
      <c r="BB601">
        <v>0</v>
      </c>
      <c r="BC601">
        <v>0</v>
      </c>
      <c r="BD601">
        <v>0</v>
      </c>
      <c r="BE601">
        <v>0</v>
      </c>
      <c r="BF601">
        <v>0</v>
      </c>
    </row>
    <row r="602" spans="54:58" x14ac:dyDescent="0.25">
      <c r="BB602">
        <v>0</v>
      </c>
      <c r="BC602">
        <v>0</v>
      </c>
      <c r="BD602">
        <v>0</v>
      </c>
      <c r="BE602">
        <v>0</v>
      </c>
      <c r="BF602">
        <v>0</v>
      </c>
    </row>
    <row r="603" spans="54:58" x14ac:dyDescent="0.25">
      <c r="BB603">
        <v>0</v>
      </c>
      <c r="BC603">
        <v>0</v>
      </c>
      <c r="BD603">
        <v>0</v>
      </c>
      <c r="BE603">
        <v>0</v>
      </c>
      <c r="BF603">
        <v>0</v>
      </c>
    </row>
    <row r="604" spans="54:58" x14ac:dyDescent="0.25">
      <c r="BB604">
        <v>0</v>
      </c>
      <c r="BC604">
        <v>0</v>
      </c>
      <c r="BD604">
        <v>0</v>
      </c>
      <c r="BE604">
        <v>0</v>
      </c>
      <c r="BF604">
        <v>0</v>
      </c>
    </row>
    <row r="605" spans="54:58" x14ac:dyDescent="0.25">
      <c r="BB605">
        <v>0</v>
      </c>
      <c r="BC605">
        <v>0</v>
      </c>
      <c r="BD605">
        <v>0</v>
      </c>
      <c r="BE605">
        <v>0</v>
      </c>
      <c r="BF605">
        <v>0</v>
      </c>
    </row>
    <row r="606" spans="54:58" x14ac:dyDescent="0.25">
      <c r="BB606">
        <v>0</v>
      </c>
      <c r="BC606">
        <v>0</v>
      </c>
      <c r="BD606">
        <v>0</v>
      </c>
      <c r="BE606">
        <v>0</v>
      </c>
      <c r="BF606">
        <v>0</v>
      </c>
    </row>
    <row r="607" spans="54:58" x14ac:dyDescent="0.25">
      <c r="BB607">
        <v>0</v>
      </c>
      <c r="BC607">
        <v>0</v>
      </c>
      <c r="BD607">
        <v>0</v>
      </c>
      <c r="BE607">
        <v>0</v>
      </c>
      <c r="BF607">
        <v>0</v>
      </c>
    </row>
    <row r="608" spans="54:58" x14ac:dyDescent="0.25">
      <c r="BB608">
        <v>0</v>
      </c>
      <c r="BC608">
        <v>0</v>
      </c>
      <c r="BD608">
        <v>0</v>
      </c>
      <c r="BE608">
        <v>0</v>
      </c>
      <c r="BF608">
        <v>0</v>
      </c>
    </row>
    <row r="609" spans="54:58" x14ac:dyDescent="0.25">
      <c r="BB609">
        <v>0</v>
      </c>
      <c r="BC609">
        <v>0</v>
      </c>
      <c r="BD609">
        <v>0</v>
      </c>
      <c r="BE609">
        <v>0</v>
      </c>
      <c r="BF609">
        <v>0</v>
      </c>
    </row>
    <row r="610" spans="54:58" x14ac:dyDescent="0.25">
      <c r="BB610">
        <v>0</v>
      </c>
      <c r="BC610">
        <v>0</v>
      </c>
      <c r="BD610">
        <v>0</v>
      </c>
      <c r="BE610">
        <v>0</v>
      </c>
      <c r="BF610">
        <v>0</v>
      </c>
    </row>
    <row r="611" spans="54:58" x14ac:dyDescent="0.25">
      <c r="BB611">
        <v>0</v>
      </c>
      <c r="BC611">
        <v>0</v>
      </c>
      <c r="BD611">
        <v>0</v>
      </c>
      <c r="BE611">
        <v>0</v>
      </c>
      <c r="BF611">
        <v>0</v>
      </c>
    </row>
    <row r="612" spans="54:58" x14ac:dyDescent="0.25">
      <c r="BB612">
        <v>0</v>
      </c>
      <c r="BC612">
        <v>0</v>
      </c>
      <c r="BD612">
        <v>0</v>
      </c>
      <c r="BE612">
        <v>0</v>
      </c>
      <c r="BF612">
        <v>0</v>
      </c>
    </row>
    <row r="613" spans="54:58" x14ac:dyDescent="0.25">
      <c r="BB613">
        <v>0</v>
      </c>
      <c r="BC613">
        <v>0</v>
      </c>
      <c r="BD613">
        <v>0</v>
      </c>
      <c r="BE613">
        <v>0</v>
      </c>
      <c r="BF613">
        <v>0</v>
      </c>
    </row>
    <row r="614" spans="54:58" x14ac:dyDescent="0.25">
      <c r="BB614">
        <v>0</v>
      </c>
      <c r="BC614">
        <v>0</v>
      </c>
      <c r="BD614">
        <v>0</v>
      </c>
      <c r="BE614">
        <v>0</v>
      </c>
      <c r="BF614">
        <v>0</v>
      </c>
    </row>
    <row r="615" spans="54:58" x14ac:dyDescent="0.25">
      <c r="BB615">
        <v>0</v>
      </c>
      <c r="BC615">
        <v>0</v>
      </c>
      <c r="BD615">
        <v>0</v>
      </c>
      <c r="BE615">
        <v>0</v>
      </c>
      <c r="BF615">
        <v>0</v>
      </c>
    </row>
    <row r="616" spans="54:58" x14ac:dyDescent="0.25">
      <c r="BB616">
        <v>0</v>
      </c>
      <c r="BC616">
        <v>0</v>
      </c>
      <c r="BD616">
        <v>0</v>
      </c>
      <c r="BE616">
        <v>0</v>
      </c>
      <c r="BF616">
        <v>0</v>
      </c>
    </row>
    <row r="617" spans="54:58" x14ac:dyDescent="0.25">
      <c r="BB617">
        <v>0</v>
      </c>
      <c r="BC617">
        <v>0</v>
      </c>
      <c r="BD617">
        <v>0</v>
      </c>
      <c r="BE617">
        <v>0</v>
      </c>
      <c r="BF617">
        <v>0</v>
      </c>
    </row>
    <row r="618" spans="54:58" x14ac:dyDescent="0.25">
      <c r="BB618">
        <v>0</v>
      </c>
      <c r="BC618">
        <v>0</v>
      </c>
      <c r="BD618">
        <v>0</v>
      </c>
      <c r="BE618">
        <v>0</v>
      </c>
      <c r="BF618">
        <v>0</v>
      </c>
    </row>
    <row r="619" spans="54:58" x14ac:dyDescent="0.25">
      <c r="BB619">
        <v>0</v>
      </c>
      <c r="BC619">
        <v>0</v>
      </c>
      <c r="BD619">
        <v>0</v>
      </c>
      <c r="BE619">
        <v>0</v>
      </c>
      <c r="BF619">
        <v>0</v>
      </c>
    </row>
    <row r="620" spans="54:58" x14ac:dyDescent="0.25">
      <c r="BB620">
        <v>0</v>
      </c>
      <c r="BC620">
        <v>0</v>
      </c>
      <c r="BD620">
        <v>0</v>
      </c>
      <c r="BE620">
        <v>0</v>
      </c>
      <c r="BF620">
        <v>0</v>
      </c>
    </row>
    <row r="621" spans="54:58" x14ac:dyDescent="0.25">
      <c r="BB621">
        <v>0</v>
      </c>
      <c r="BC621">
        <v>0</v>
      </c>
      <c r="BD621">
        <v>0</v>
      </c>
      <c r="BE621">
        <v>0</v>
      </c>
      <c r="BF621">
        <v>0</v>
      </c>
    </row>
    <row r="622" spans="54:58" x14ac:dyDescent="0.25">
      <c r="BB622">
        <v>0</v>
      </c>
      <c r="BC622">
        <v>0</v>
      </c>
      <c r="BD622">
        <v>0</v>
      </c>
      <c r="BE622">
        <v>0</v>
      </c>
      <c r="BF622">
        <v>0</v>
      </c>
    </row>
    <row r="623" spans="54:58" x14ac:dyDescent="0.25">
      <c r="BB623">
        <v>0</v>
      </c>
      <c r="BC623">
        <v>0</v>
      </c>
      <c r="BD623">
        <v>0</v>
      </c>
      <c r="BE623">
        <v>0</v>
      </c>
      <c r="BF623">
        <v>0</v>
      </c>
    </row>
    <row r="624" spans="54:58" x14ac:dyDescent="0.25">
      <c r="BB624">
        <v>0</v>
      </c>
      <c r="BC624">
        <v>0</v>
      </c>
      <c r="BD624">
        <v>0</v>
      </c>
      <c r="BE624">
        <v>0</v>
      </c>
      <c r="BF624">
        <v>0</v>
      </c>
    </row>
    <row r="625" spans="54:58" x14ac:dyDescent="0.25">
      <c r="BB625">
        <v>0</v>
      </c>
      <c r="BC625">
        <v>0</v>
      </c>
      <c r="BD625">
        <v>0</v>
      </c>
      <c r="BE625">
        <v>0</v>
      </c>
      <c r="BF625">
        <v>0</v>
      </c>
    </row>
    <row r="626" spans="54:58" x14ac:dyDescent="0.25">
      <c r="BB626">
        <v>0</v>
      </c>
      <c r="BC626">
        <v>0</v>
      </c>
      <c r="BD626">
        <v>0</v>
      </c>
      <c r="BE626">
        <v>0</v>
      </c>
      <c r="BF626">
        <v>0</v>
      </c>
    </row>
    <row r="627" spans="54:58" x14ac:dyDescent="0.25">
      <c r="BB627">
        <v>0</v>
      </c>
      <c r="BC627">
        <v>0</v>
      </c>
      <c r="BD627">
        <v>0</v>
      </c>
      <c r="BE627">
        <v>0</v>
      </c>
      <c r="BF627">
        <v>0</v>
      </c>
    </row>
    <row r="628" spans="54:58" x14ac:dyDescent="0.25">
      <c r="BB628">
        <v>0</v>
      </c>
      <c r="BC628">
        <v>0</v>
      </c>
      <c r="BD628">
        <v>0</v>
      </c>
      <c r="BE628">
        <v>0</v>
      </c>
      <c r="BF628">
        <v>0</v>
      </c>
    </row>
    <row r="629" spans="54:58" x14ac:dyDescent="0.25">
      <c r="BB629">
        <v>0</v>
      </c>
      <c r="BC629">
        <v>0</v>
      </c>
      <c r="BD629">
        <v>0</v>
      </c>
      <c r="BE629">
        <v>0</v>
      </c>
      <c r="BF629">
        <v>0</v>
      </c>
    </row>
    <row r="630" spans="54:58" x14ac:dyDescent="0.25">
      <c r="BB630">
        <v>0</v>
      </c>
      <c r="BC630">
        <v>0</v>
      </c>
      <c r="BD630">
        <v>0</v>
      </c>
      <c r="BE630">
        <v>0</v>
      </c>
      <c r="BF630">
        <v>0</v>
      </c>
    </row>
    <row r="631" spans="54:58" x14ac:dyDescent="0.25">
      <c r="BB631">
        <v>0</v>
      </c>
      <c r="BC631">
        <v>0</v>
      </c>
      <c r="BD631">
        <v>0</v>
      </c>
      <c r="BE631">
        <v>0</v>
      </c>
      <c r="BF631">
        <v>0</v>
      </c>
    </row>
    <row r="632" spans="54:58" x14ac:dyDescent="0.25">
      <c r="BB632">
        <v>0</v>
      </c>
      <c r="BC632">
        <v>0</v>
      </c>
      <c r="BD632">
        <v>0</v>
      </c>
      <c r="BE632">
        <v>0</v>
      </c>
      <c r="BF632">
        <v>0</v>
      </c>
    </row>
    <row r="633" spans="54:58" x14ac:dyDescent="0.25">
      <c r="BB633">
        <v>0</v>
      </c>
      <c r="BC633">
        <v>0</v>
      </c>
      <c r="BD633">
        <v>0</v>
      </c>
      <c r="BE633">
        <v>0</v>
      </c>
      <c r="BF633">
        <v>0</v>
      </c>
    </row>
    <row r="634" spans="54:58" x14ac:dyDescent="0.25">
      <c r="BB634">
        <v>0</v>
      </c>
      <c r="BC634">
        <v>0</v>
      </c>
      <c r="BD634">
        <v>0</v>
      </c>
      <c r="BE634">
        <v>0</v>
      </c>
      <c r="BF634">
        <v>0</v>
      </c>
    </row>
    <row r="635" spans="54:58" x14ac:dyDescent="0.25">
      <c r="BB635">
        <v>0</v>
      </c>
      <c r="BC635">
        <v>0</v>
      </c>
      <c r="BD635">
        <v>0</v>
      </c>
      <c r="BE635">
        <v>0</v>
      </c>
      <c r="BF635">
        <v>0</v>
      </c>
    </row>
    <row r="636" spans="54:58" x14ac:dyDescent="0.25">
      <c r="BB636">
        <v>0</v>
      </c>
      <c r="BC636">
        <v>0</v>
      </c>
      <c r="BD636">
        <v>0</v>
      </c>
      <c r="BE636">
        <v>0</v>
      </c>
      <c r="BF636">
        <v>0</v>
      </c>
    </row>
    <row r="637" spans="54:58" x14ac:dyDescent="0.25">
      <c r="BB637">
        <v>0</v>
      </c>
      <c r="BC637">
        <v>0</v>
      </c>
      <c r="BD637">
        <v>0</v>
      </c>
      <c r="BE637">
        <v>0</v>
      </c>
      <c r="BF637">
        <v>0</v>
      </c>
    </row>
    <row r="638" spans="54:58" x14ac:dyDescent="0.25">
      <c r="BB638">
        <v>0</v>
      </c>
      <c r="BC638">
        <v>0</v>
      </c>
      <c r="BD638">
        <v>0</v>
      </c>
      <c r="BE638">
        <v>0</v>
      </c>
      <c r="BF638">
        <v>0</v>
      </c>
    </row>
    <row r="639" spans="54:58" x14ac:dyDescent="0.25">
      <c r="BB639">
        <v>0</v>
      </c>
      <c r="BC639">
        <v>0</v>
      </c>
      <c r="BD639">
        <v>0</v>
      </c>
      <c r="BE639">
        <v>0</v>
      </c>
      <c r="BF639">
        <v>0</v>
      </c>
    </row>
    <row r="640" spans="54:58" x14ac:dyDescent="0.25">
      <c r="BB640">
        <v>0</v>
      </c>
      <c r="BC640">
        <v>0</v>
      </c>
      <c r="BD640">
        <v>0</v>
      </c>
      <c r="BE640">
        <v>0</v>
      </c>
      <c r="BF640">
        <v>0</v>
      </c>
    </row>
    <row r="641" spans="54:58" x14ac:dyDescent="0.25">
      <c r="BB641">
        <v>0</v>
      </c>
      <c r="BC641">
        <v>0</v>
      </c>
      <c r="BD641">
        <v>0</v>
      </c>
      <c r="BE641">
        <v>0</v>
      </c>
      <c r="BF641">
        <v>0</v>
      </c>
    </row>
    <row r="642" spans="54:58" x14ac:dyDescent="0.25">
      <c r="BB642">
        <v>0</v>
      </c>
      <c r="BC642">
        <v>0</v>
      </c>
      <c r="BD642">
        <v>0</v>
      </c>
      <c r="BE642">
        <v>0</v>
      </c>
      <c r="BF642">
        <v>0</v>
      </c>
    </row>
    <row r="643" spans="54:58" x14ac:dyDescent="0.25">
      <c r="BB643">
        <v>0</v>
      </c>
      <c r="BC643">
        <v>0</v>
      </c>
      <c r="BD643">
        <v>0</v>
      </c>
      <c r="BE643">
        <v>0</v>
      </c>
      <c r="BF643">
        <v>0</v>
      </c>
    </row>
    <row r="644" spans="54:58" x14ac:dyDescent="0.25">
      <c r="BB644">
        <v>0</v>
      </c>
      <c r="BC644">
        <v>0</v>
      </c>
      <c r="BD644">
        <v>0</v>
      </c>
      <c r="BE644">
        <v>0</v>
      </c>
      <c r="BF644">
        <v>0</v>
      </c>
    </row>
    <row r="645" spans="54:58" x14ac:dyDescent="0.25">
      <c r="BB645">
        <v>0</v>
      </c>
      <c r="BC645">
        <v>0</v>
      </c>
      <c r="BD645">
        <v>0</v>
      </c>
      <c r="BE645">
        <v>0</v>
      </c>
      <c r="BF645">
        <v>0</v>
      </c>
    </row>
    <row r="646" spans="54:58" x14ac:dyDescent="0.25">
      <c r="BB646">
        <v>0</v>
      </c>
      <c r="BC646">
        <v>0</v>
      </c>
      <c r="BD646">
        <v>0</v>
      </c>
      <c r="BE646">
        <v>0</v>
      </c>
      <c r="BF646">
        <v>0</v>
      </c>
    </row>
    <row r="647" spans="54:58" x14ac:dyDescent="0.25">
      <c r="BB647">
        <v>0</v>
      </c>
      <c r="BC647">
        <v>0</v>
      </c>
      <c r="BD647">
        <v>0</v>
      </c>
      <c r="BE647">
        <v>0</v>
      </c>
      <c r="BF647">
        <v>0</v>
      </c>
    </row>
    <row r="648" spans="54:58" x14ac:dyDescent="0.25">
      <c r="BB648">
        <v>0</v>
      </c>
      <c r="BC648">
        <v>0</v>
      </c>
      <c r="BD648">
        <v>0</v>
      </c>
      <c r="BE648">
        <v>0</v>
      </c>
      <c r="BF648">
        <v>0</v>
      </c>
    </row>
    <row r="649" spans="54:58" x14ac:dyDescent="0.25">
      <c r="BB649">
        <v>0</v>
      </c>
      <c r="BC649">
        <v>0</v>
      </c>
      <c r="BD649">
        <v>0</v>
      </c>
      <c r="BE649">
        <v>0</v>
      </c>
      <c r="BF649">
        <v>0</v>
      </c>
    </row>
    <row r="650" spans="54:58" x14ac:dyDescent="0.25">
      <c r="BB650">
        <v>0</v>
      </c>
      <c r="BC650">
        <v>0</v>
      </c>
      <c r="BD650">
        <v>0</v>
      </c>
      <c r="BE650">
        <v>0</v>
      </c>
      <c r="BF650">
        <v>0</v>
      </c>
    </row>
    <row r="651" spans="54:58" x14ac:dyDescent="0.25">
      <c r="BB651">
        <v>0</v>
      </c>
      <c r="BC651">
        <v>0</v>
      </c>
      <c r="BD651">
        <v>0</v>
      </c>
      <c r="BE651">
        <v>0</v>
      </c>
      <c r="BF651">
        <v>0</v>
      </c>
    </row>
    <row r="652" spans="54:58" x14ac:dyDescent="0.25">
      <c r="BB652">
        <v>0</v>
      </c>
      <c r="BC652">
        <v>0</v>
      </c>
      <c r="BD652">
        <v>0</v>
      </c>
      <c r="BE652">
        <v>0</v>
      </c>
      <c r="BF652">
        <v>0</v>
      </c>
    </row>
    <row r="653" spans="54:58" x14ac:dyDescent="0.25">
      <c r="BB653">
        <v>0</v>
      </c>
      <c r="BC653">
        <v>0</v>
      </c>
      <c r="BD653">
        <v>0</v>
      </c>
      <c r="BE653">
        <v>0</v>
      </c>
      <c r="BF653">
        <v>0</v>
      </c>
    </row>
    <row r="654" spans="54:58" x14ac:dyDescent="0.25">
      <c r="BB654">
        <v>0</v>
      </c>
      <c r="BC654">
        <v>0</v>
      </c>
      <c r="BD654">
        <v>0</v>
      </c>
      <c r="BE654">
        <v>0</v>
      </c>
      <c r="BF654">
        <v>0</v>
      </c>
    </row>
    <row r="655" spans="54:58" x14ac:dyDescent="0.25">
      <c r="BB655">
        <v>0</v>
      </c>
      <c r="BC655">
        <v>0</v>
      </c>
      <c r="BD655">
        <v>0</v>
      </c>
      <c r="BE655">
        <v>0</v>
      </c>
      <c r="BF655">
        <v>0</v>
      </c>
    </row>
    <row r="656" spans="54:58" x14ac:dyDescent="0.25">
      <c r="BB656">
        <v>0</v>
      </c>
      <c r="BC656">
        <v>0</v>
      </c>
      <c r="BD656">
        <v>0</v>
      </c>
      <c r="BE656">
        <v>0</v>
      </c>
      <c r="BF656">
        <v>0</v>
      </c>
    </row>
    <row r="657" spans="54:58" x14ac:dyDescent="0.25">
      <c r="BB657">
        <v>0</v>
      </c>
      <c r="BC657">
        <v>0</v>
      </c>
      <c r="BD657">
        <v>0</v>
      </c>
      <c r="BE657">
        <v>0</v>
      </c>
      <c r="BF657">
        <v>0</v>
      </c>
    </row>
    <row r="658" spans="54:58" x14ac:dyDescent="0.25">
      <c r="BB658">
        <v>0</v>
      </c>
      <c r="BC658">
        <v>0</v>
      </c>
      <c r="BD658">
        <v>0</v>
      </c>
      <c r="BE658">
        <v>0</v>
      </c>
      <c r="BF658">
        <v>0</v>
      </c>
    </row>
    <row r="659" spans="54:58" x14ac:dyDescent="0.25">
      <c r="BB659">
        <v>0</v>
      </c>
      <c r="BC659">
        <v>0</v>
      </c>
      <c r="BD659">
        <v>0</v>
      </c>
      <c r="BE659">
        <v>0</v>
      </c>
      <c r="BF659">
        <v>0</v>
      </c>
    </row>
    <row r="660" spans="54:58" x14ac:dyDescent="0.25">
      <c r="BB660">
        <v>0</v>
      </c>
      <c r="BC660">
        <v>0</v>
      </c>
      <c r="BD660">
        <v>0</v>
      </c>
      <c r="BE660">
        <v>0</v>
      </c>
      <c r="BF660">
        <v>0</v>
      </c>
    </row>
    <row r="661" spans="54:58" x14ac:dyDescent="0.25">
      <c r="BB661">
        <v>0</v>
      </c>
      <c r="BC661">
        <v>0</v>
      </c>
      <c r="BD661">
        <v>0</v>
      </c>
      <c r="BE661">
        <v>0</v>
      </c>
      <c r="BF661">
        <v>0</v>
      </c>
    </row>
    <row r="662" spans="54:58" x14ac:dyDescent="0.25">
      <c r="BB662">
        <v>0</v>
      </c>
      <c r="BC662">
        <v>0</v>
      </c>
      <c r="BD662">
        <v>0</v>
      </c>
      <c r="BE662">
        <v>0</v>
      </c>
      <c r="BF662">
        <v>0</v>
      </c>
    </row>
    <row r="663" spans="54:58" x14ac:dyDescent="0.25">
      <c r="BB663">
        <v>0</v>
      </c>
      <c r="BC663">
        <v>0</v>
      </c>
      <c r="BD663">
        <v>0</v>
      </c>
      <c r="BE663">
        <v>0</v>
      </c>
      <c r="BF663">
        <v>0</v>
      </c>
    </row>
    <row r="664" spans="54:58" x14ac:dyDescent="0.25">
      <c r="BB664">
        <v>0</v>
      </c>
      <c r="BC664">
        <v>0</v>
      </c>
      <c r="BD664">
        <v>0</v>
      </c>
      <c r="BE664">
        <v>0</v>
      </c>
      <c r="BF664">
        <v>0</v>
      </c>
    </row>
    <row r="665" spans="54:58" x14ac:dyDescent="0.25">
      <c r="BB665">
        <v>0</v>
      </c>
      <c r="BC665">
        <v>0</v>
      </c>
      <c r="BD665">
        <v>0</v>
      </c>
      <c r="BE665">
        <v>0</v>
      </c>
      <c r="BF665">
        <v>0</v>
      </c>
    </row>
    <row r="666" spans="54:58" x14ac:dyDescent="0.25">
      <c r="BB666">
        <v>0</v>
      </c>
      <c r="BC666">
        <v>0</v>
      </c>
      <c r="BD666">
        <v>0</v>
      </c>
      <c r="BE666">
        <v>0</v>
      </c>
      <c r="BF666">
        <v>0</v>
      </c>
    </row>
    <row r="667" spans="54:58" x14ac:dyDescent="0.25">
      <c r="BB667">
        <v>0</v>
      </c>
      <c r="BC667">
        <v>0</v>
      </c>
      <c r="BD667">
        <v>0</v>
      </c>
      <c r="BE667">
        <v>0</v>
      </c>
      <c r="BF667">
        <v>0</v>
      </c>
    </row>
    <row r="668" spans="54:58" x14ac:dyDescent="0.25">
      <c r="BB668">
        <v>0</v>
      </c>
      <c r="BC668">
        <v>0</v>
      </c>
      <c r="BD668">
        <v>0</v>
      </c>
      <c r="BE668">
        <v>0</v>
      </c>
      <c r="BF668">
        <v>0</v>
      </c>
    </row>
    <row r="669" spans="54:58" x14ac:dyDescent="0.25">
      <c r="BB669">
        <v>0</v>
      </c>
      <c r="BC669">
        <v>0</v>
      </c>
      <c r="BD669">
        <v>0</v>
      </c>
      <c r="BE669">
        <v>0</v>
      </c>
      <c r="BF669">
        <v>0</v>
      </c>
    </row>
    <row r="670" spans="54:58" x14ac:dyDescent="0.25">
      <c r="BB670">
        <v>0</v>
      </c>
      <c r="BC670">
        <v>0</v>
      </c>
      <c r="BD670">
        <v>0</v>
      </c>
      <c r="BE670">
        <v>0</v>
      </c>
      <c r="BF670">
        <v>0</v>
      </c>
    </row>
    <row r="671" spans="54:58" x14ac:dyDescent="0.25">
      <c r="BB671">
        <v>0</v>
      </c>
      <c r="BC671">
        <v>0</v>
      </c>
      <c r="BD671">
        <v>0</v>
      </c>
      <c r="BE671">
        <v>0</v>
      </c>
      <c r="BF671">
        <v>0</v>
      </c>
    </row>
    <row r="672" spans="54:58" x14ac:dyDescent="0.25">
      <c r="BB672">
        <v>0</v>
      </c>
      <c r="BC672">
        <v>0</v>
      </c>
      <c r="BD672">
        <v>0</v>
      </c>
      <c r="BE672">
        <v>0</v>
      </c>
      <c r="BF672">
        <v>0</v>
      </c>
    </row>
    <row r="673" spans="54:58" x14ac:dyDescent="0.25">
      <c r="BB673">
        <v>0</v>
      </c>
      <c r="BC673">
        <v>0</v>
      </c>
      <c r="BD673">
        <v>0</v>
      </c>
      <c r="BE673">
        <v>0</v>
      </c>
      <c r="BF673">
        <v>0</v>
      </c>
    </row>
    <row r="674" spans="54:58" x14ac:dyDescent="0.25">
      <c r="BB674">
        <v>0</v>
      </c>
      <c r="BC674">
        <v>0</v>
      </c>
      <c r="BD674">
        <v>0</v>
      </c>
      <c r="BE674">
        <v>0</v>
      </c>
      <c r="BF674">
        <v>0</v>
      </c>
    </row>
    <row r="675" spans="54:58" x14ac:dyDescent="0.25">
      <c r="BB675">
        <v>0</v>
      </c>
      <c r="BC675">
        <v>0</v>
      </c>
      <c r="BD675">
        <v>0</v>
      </c>
      <c r="BE675">
        <v>0</v>
      </c>
      <c r="BF675">
        <v>0</v>
      </c>
    </row>
    <row r="676" spans="54:58" x14ac:dyDescent="0.25">
      <c r="BB676">
        <v>0</v>
      </c>
      <c r="BC676">
        <v>0</v>
      </c>
      <c r="BD676">
        <v>0</v>
      </c>
      <c r="BE676">
        <v>0</v>
      </c>
      <c r="BF676">
        <v>0</v>
      </c>
    </row>
    <row r="677" spans="54:58" x14ac:dyDescent="0.25">
      <c r="BB677">
        <v>0</v>
      </c>
      <c r="BC677">
        <v>0</v>
      </c>
      <c r="BD677">
        <v>0</v>
      </c>
      <c r="BE677">
        <v>0</v>
      </c>
      <c r="BF677">
        <v>0</v>
      </c>
    </row>
    <row r="678" spans="54:58" x14ac:dyDescent="0.25">
      <c r="BB678">
        <v>0</v>
      </c>
      <c r="BC678">
        <v>0</v>
      </c>
      <c r="BD678">
        <v>0</v>
      </c>
      <c r="BE678">
        <v>0</v>
      </c>
      <c r="BF678">
        <v>0</v>
      </c>
    </row>
    <row r="679" spans="54:58" x14ac:dyDescent="0.25">
      <c r="BB679">
        <v>0</v>
      </c>
      <c r="BC679">
        <v>0</v>
      </c>
      <c r="BD679">
        <v>0</v>
      </c>
      <c r="BE679">
        <v>0</v>
      </c>
      <c r="BF679">
        <v>0</v>
      </c>
    </row>
    <row r="680" spans="54:58" x14ac:dyDescent="0.25">
      <c r="BB680">
        <v>0</v>
      </c>
      <c r="BC680">
        <v>0</v>
      </c>
      <c r="BD680">
        <v>0</v>
      </c>
      <c r="BE680">
        <v>0</v>
      </c>
      <c r="BF680">
        <v>0</v>
      </c>
    </row>
    <row r="681" spans="54:58" x14ac:dyDescent="0.25">
      <c r="BB681">
        <v>0</v>
      </c>
      <c r="BC681">
        <v>0</v>
      </c>
      <c r="BD681">
        <v>0</v>
      </c>
      <c r="BE681">
        <v>0</v>
      </c>
      <c r="BF681">
        <v>0</v>
      </c>
    </row>
    <row r="682" spans="54:58" x14ac:dyDescent="0.25">
      <c r="BB682">
        <v>0</v>
      </c>
      <c r="BC682">
        <v>0</v>
      </c>
      <c r="BD682">
        <v>0</v>
      </c>
      <c r="BE682">
        <v>0</v>
      </c>
      <c r="BF682">
        <v>0</v>
      </c>
    </row>
    <row r="683" spans="54:58" x14ac:dyDescent="0.25">
      <c r="BB683">
        <v>0</v>
      </c>
      <c r="BC683">
        <v>0</v>
      </c>
      <c r="BD683">
        <v>0</v>
      </c>
      <c r="BE683">
        <v>0</v>
      </c>
      <c r="BF683">
        <v>0</v>
      </c>
    </row>
    <row r="684" spans="54:58" x14ac:dyDescent="0.25">
      <c r="BB684">
        <v>0</v>
      </c>
      <c r="BC684">
        <v>0</v>
      </c>
      <c r="BD684">
        <v>0</v>
      </c>
      <c r="BE684">
        <v>0</v>
      </c>
      <c r="BF684">
        <v>0</v>
      </c>
    </row>
    <row r="685" spans="54:58" x14ac:dyDescent="0.25">
      <c r="BB685">
        <v>0</v>
      </c>
      <c r="BC685">
        <v>0</v>
      </c>
      <c r="BD685">
        <v>0</v>
      </c>
      <c r="BE685">
        <v>0</v>
      </c>
      <c r="BF685">
        <v>0</v>
      </c>
    </row>
    <row r="686" spans="54:58" x14ac:dyDescent="0.25">
      <c r="BB686">
        <v>0</v>
      </c>
      <c r="BC686">
        <v>0</v>
      </c>
      <c r="BD686">
        <v>0</v>
      </c>
      <c r="BE686">
        <v>0</v>
      </c>
      <c r="BF686">
        <v>0</v>
      </c>
    </row>
    <row r="687" spans="54:58" x14ac:dyDescent="0.25">
      <c r="BB687">
        <v>0</v>
      </c>
      <c r="BC687">
        <v>0</v>
      </c>
      <c r="BD687">
        <v>0</v>
      </c>
      <c r="BE687">
        <v>0</v>
      </c>
      <c r="BF687">
        <v>0</v>
      </c>
    </row>
    <row r="688" spans="54:58" x14ac:dyDescent="0.25">
      <c r="BB688">
        <v>0</v>
      </c>
      <c r="BC688">
        <v>0</v>
      </c>
      <c r="BD688">
        <v>0</v>
      </c>
      <c r="BE688">
        <v>0</v>
      </c>
      <c r="BF688">
        <v>0</v>
      </c>
    </row>
    <row r="689" spans="54:58" x14ac:dyDescent="0.25">
      <c r="BB689">
        <v>0</v>
      </c>
      <c r="BC689">
        <v>0</v>
      </c>
      <c r="BD689">
        <v>0</v>
      </c>
      <c r="BE689">
        <v>0</v>
      </c>
      <c r="BF689">
        <v>0</v>
      </c>
    </row>
    <row r="690" spans="54:58" x14ac:dyDescent="0.25">
      <c r="BB690">
        <v>0</v>
      </c>
      <c r="BC690">
        <v>0</v>
      </c>
      <c r="BD690">
        <v>0</v>
      </c>
      <c r="BE690">
        <v>0</v>
      </c>
      <c r="BF690">
        <v>0</v>
      </c>
    </row>
    <row r="691" spans="54:58" x14ac:dyDescent="0.25">
      <c r="BB691">
        <v>0</v>
      </c>
      <c r="BC691">
        <v>0</v>
      </c>
      <c r="BD691">
        <v>0</v>
      </c>
      <c r="BE691">
        <v>0</v>
      </c>
      <c r="BF691">
        <v>0</v>
      </c>
    </row>
    <row r="692" spans="54:58" x14ac:dyDescent="0.25">
      <c r="BB692">
        <v>0</v>
      </c>
      <c r="BC692">
        <v>0</v>
      </c>
      <c r="BD692">
        <v>0</v>
      </c>
      <c r="BE692">
        <v>0</v>
      </c>
      <c r="BF692">
        <v>0</v>
      </c>
    </row>
    <row r="693" spans="54:58" x14ac:dyDescent="0.25">
      <c r="BB693">
        <v>0</v>
      </c>
      <c r="BC693">
        <v>0</v>
      </c>
      <c r="BD693">
        <v>0</v>
      </c>
      <c r="BE693">
        <v>0</v>
      </c>
      <c r="BF693">
        <v>0</v>
      </c>
    </row>
    <row r="694" spans="54:58" x14ac:dyDescent="0.25">
      <c r="BB694">
        <v>0</v>
      </c>
      <c r="BC694">
        <v>0</v>
      </c>
      <c r="BD694">
        <v>0</v>
      </c>
      <c r="BE694">
        <v>0</v>
      </c>
      <c r="BF694">
        <v>0</v>
      </c>
    </row>
    <row r="695" spans="54:58" x14ac:dyDescent="0.25">
      <c r="BB695">
        <v>0</v>
      </c>
      <c r="BC695">
        <v>0</v>
      </c>
      <c r="BD695">
        <v>0</v>
      </c>
      <c r="BE695">
        <v>0</v>
      </c>
      <c r="BF695">
        <v>0</v>
      </c>
    </row>
    <row r="696" spans="54:58" x14ac:dyDescent="0.25">
      <c r="BB696">
        <v>0</v>
      </c>
      <c r="BC696">
        <v>0</v>
      </c>
      <c r="BD696">
        <v>0</v>
      </c>
      <c r="BE696">
        <v>0</v>
      </c>
      <c r="BF696">
        <v>0</v>
      </c>
    </row>
    <row r="697" spans="54:58" x14ac:dyDescent="0.25">
      <c r="BB697">
        <v>0</v>
      </c>
      <c r="BC697">
        <v>0</v>
      </c>
      <c r="BD697">
        <v>0</v>
      </c>
      <c r="BE697">
        <v>0</v>
      </c>
      <c r="BF697">
        <v>0</v>
      </c>
    </row>
    <row r="698" spans="54:58" x14ac:dyDescent="0.25">
      <c r="BB698">
        <v>0</v>
      </c>
      <c r="BC698">
        <v>0</v>
      </c>
      <c r="BD698">
        <v>0</v>
      </c>
      <c r="BE698">
        <v>0</v>
      </c>
      <c r="BF698">
        <v>0</v>
      </c>
    </row>
    <row r="699" spans="54:58" x14ac:dyDescent="0.25">
      <c r="BB699">
        <v>0</v>
      </c>
      <c r="BC699">
        <v>0</v>
      </c>
      <c r="BD699">
        <v>0</v>
      </c>
      <c r="BE699">
        <v>0</v>
      </c>
      <c r="BF699">
        <v>0</v>
      </c>
    </row>
    <row r="700" spans="54:58" x14ac:dyDescent="0.25">
      <c r="BB700">
        <v>0</v>
      </c>
      <c r="BC700">
        <v>0</v>
      </c>
      <c r="BD700">
        <v>0</v>
      </c>
      <c r="BE700">
        <v>0</v>
      </c>
      <c r="BF700">
        <v>0</v>
      </c>
    </row>
    <row r="701" spans="54:58" x14ac:dyDescent="0.25">
      <c r="BB701">
        <v>0</v>
      </c>
      <c r="BC701">
        <v>0</v>
      </c>
      <c r="BD701">
        <v>0</v>
      </c>
      <c r="BE701">
        <v>0</v>
      </c>
      <c r="BF701">
        <v>0</v>
      </c>
    </row>
    <row r="702" spans="54:58" x14ac:dyDescent="0.25">
      <c r="BB702">
        <v>0</v>
      </c>
      <c r="BC702">
        <v>0</v>
      </c>
      <c r="BD702">
        <v>0</v>
      </c>
      <c r="BE702">
        <v>0</v>
      </c>
      <c r="BF702">
        <v>0</v>
      </c>
    </row>
    <row r="703" spans="54:58" x14ac:dyDescent="0.25">
      <c r="BB703">
        <v>0</v>
      </c>
      <c r="BC703">
        <v>0</v>
      </c>
      <c r="BD703">
        <v>0</v>
      </c>
      <c r="BE703">
        <v>0</v>
      </c>
      <c r="BF703">
        <v>0</v>
      </c>
    </row>
    <row r="704" spans="54:58" x14ac:dyDescent="0.25">
      <c r="BB704">
        <v>0</v>
      </c>
      <c r="BC704">
        <v>0</v>
      </c>
      <c r="BD704">
        <v>0</v>
      </c>
      <c r="BE704">
        <v>0</v>
      </c>
      <c r="BF704">
        <v>0</v>
      </c>
    </row>
    <row r="705" spans="54:58" x14ac:dyDescent="0.25">
      <c r="BB705">
        <v>0</v>
      </c>
      <c r="BC705">
        <v>0</v>
      </c>
      <c r="BD705">
        <v>0</v>
      </c>
      <c r="BE705">
        <v>0</v>
      </c>
      <c r="BF705">
        <v>0</v>
      </c>
    </row>
    <row r="706" spans="54:58" x14ac:dyDescent="0.25">
      <c r="BB706">
        <v>0</v>
      </c>
      <c r="BC706">
        <v>0</v>
      </c>
      <c r="BD706">
        <v>0</v>
      </c>
      <c r="BE706">
        <v>0</v>
      </c>
      <c r="BF706">
        <v>0</v>
      </c>
    </row>
    <row r="707" spans="54:58" x14ac:dyDescent="0.25">
      <c r="BB707">
        <v>0</v>
      </c>
      <c r="BC707">
        <v>0</v>
      </c>
      <c r="BD707">
        <v>0</v>
      </c>
      <c r="BE707">
        <v>0</v>
      </c>
      <c r="BF707">
        <v>0</v>
      </c>
    </row>
    <row r="708" spans="54:58" x14ac:dyDescent="0.25">
      <c r="BB708">
        <v>0</v>
      </c>
      <c r="BC708">
        <v>0</v>
      </c>
      <c r="BD708">
        <v>0</v>
      </c>
      <c r="BE708">
        <v>0</v>
      </c>
      <c r="BF708">
        <v>0</v>
      </c>
    </row>
    <row r="709" spans="54:58" x14ac:dyDescent="0.25">
      <c r="BB709">
        <v>0</v>
      </c>
      <c r="BC709">
        <v>0</v>
      </c>
      <c r="BD709">
        <v>0</v>
      </c>
      <c r="BE709">
        <v>0</v>
      </c>
      <c r="BF709">
        <v>0</v>
      </c>
    </row>
    <row r="710" spans="54:58" x14ac:dyDescent="0.25">
      <c r="BB710">
        <v>0</v>
      </c>
      <c r="BC710">
        <v>0</v>
      </c>
      <c r="BD710">
        <v>0</v>
      </c>
      <c r="BE710">
        <v>0</v>
      </c>
      <c r="BF710">
        <v>0</v>
      </c>
    </row>
    <row r="711" spans="54:58" x14ac:dyDescent="0.25">
      <c r="BB711">
        <v>0</v>
      </c>
      <c r="BC711">
        <v>0</v>
      </c>
      <c r="BD711">
        <v>0</v>
      </c>
      <c r="BE711">
        <v>0</v>
      </c>
      <c r="BF711">
        <v>0</v>
      </c>
    </row>
    <row r="712" spans="54:58" x14ac:dyDescent="0.25">
      <c r="BB712">
        <v>0</v>
      </c>
      <c r="BC712">
        <v>0</v>
      </c>
      <c r="BD712">
        <v>0</v>
      </c>
      <c r="BE712">
        <v>0</v>
      </c>
      <c r="BF712">
        <v>0</v>
      </c>
    </row>
    <row r="713" spans="54:58" x14ac:dyDescent="0.25">
      <c r="BB713">
        <v>0</v>
      </c>
      <c r="BC713">
        <v>0</v>
      </c>
      <c r="BD713">
        <v>0</v>
      </c>
      <c r="BE713">
        <v>0</v>
      </c>
      <c r="BF713">
        <v>0</v>
      </c>
    </row>
    <row r="714" spans="54:58" x14ac:dyDescent="0.25">
      <c r="BB714">
        <v>0</v>
      </c>
      <c r="BC714">
        <v>0</v>
      </c>
      <c r="BD714">
        <v>0</v>
      </c>
      <c r="BE714">
        <v>0</v>
      </c>
      <c r="BF714">
        <v>0</v>
      </c>
    </row>
    <row r="715" spans="54:58" x14ac:dyDescent="0.25">
      <c r="BB715">
        <v>0</v>
      </c>
      <c r="BC715">
        <v>0</v>
      </c>
      <c r="BD715">
        <v>0</v>
      </c>
      <c r="BE715">
        <v>0</v>
      </c>
      <c r="BF715">
        <v>0</v>
      </c>
    </row>
    <row r="716" spans="54:58" x14ac:dyDescent="0.25">
      <c r="BB716">
        <v>0</v>
      </c>
      <c r="BC716">
        <v>0</v>
      </c>
      <c r="BD716">
        <v>0</v>
      </c>
      <c r="BE716">
        <v>0</v>
      </c>
      <c r="BF716">
        <v>0</v>
      </c>
    </row>
    <row r="717" spans="54:58" x14ac:dyDescent="0.25">
      <c r="BB717">
        <v>0</v>
      </c>
      <c r="BC717">
        <v>0</v>
      </c>
      <c r="BD717">
        <v>0</v>
      </c>
      <c r="BE717">
        <v>0</v>
      </c>
      <c r="BF717">
        <v>0</v>
      </c>
    </row>
    <row r="718" spans="54:58" x14ac:dyDescent="0.25">
      <c r="BB718">
        <v>0</v>
      </c>
      <c r="BC718">
        <v>0</v>
      </c>
      <c r="BD718">
        <v>0</v>
      </c>
      <c r="BE718">
        <v>0</v>
      </c>
      <c r="BF718">
        <v>0</v>
      </c>
    </row>
    <row r="719" spans="54:58" x14ac:dyDescent="0.25">
      <c r="BB719">
        <v>0</v>
      </c>
      <c r="BC719">
        <v>0</v>
      </c>
      <c r="BD719">
        <v>0</v>
      </c>
      <c r="BE719">
        <v>0</v>
      </c>
      <c r="BF719">
        <v>0</v>
      </c>
    </row>
    <row r="720" spans="54:58" x14ac:dyDescent="0.25">
      <c r="BB720">
        <v>0</v>
      </c>
      <c r="BC720">
        <v>0</v>
      </c>
      <c r="BD720">
        <v>0</v>
      </c>
      <c r="BE720">
        <v>0</v>
      </c>
      <c r="BF720">
        <v>0</v>
      </c>
    </row>
    <row r="721" spans="54:58" x14ac:dyDescent="0.25">
      <c r="BB721">
        <v>0</v>
      </c>
      <c r="BC721">
        <v>0</v>
      </c>
      <c r="BD721">
        <v>0</v>
      </c>
      <c r="BE721">
        <v>0</v>
      </c>
      <c r="BF721">
        <v>0</v>
      </c>
    </row>
    <row r="722" spans="54:58" x14ac:dyDescent="0.25">
      <c r="BB722">
        <v>0</v>
      </c>
      <c r="BC722">
        <v>0</v>
      </c>
      <c r="BD722">
        <v>0</v>
      </c>
      <c r="BE722">
        <v>0</v>
      </c>
      <c r="BF722">
        <v>0</v>
      </c>
    </row>
    <row r="723" spans="54:58" x14ac:dyDescent="0.25">
      <c r="BB723">
        <v>0</v>
      </c>
      <c r="BC723">
        <v>0</v>
      </c>
      <c r="BD723">
        <v>0</v>
      </c>
      <c r="BE723">
        <v>0</v>
      </c>
      <c r="BF723">
        <v>0</v>
      </c>
    </row>
    <row r="724" spans="54:58" x14ac:dyDescent="0.25">
      <c r="BB724">
        <v>0</v>
      </c>
      <c r="BC724">
        <v>0</v>
      </c>
      <c r="BD724">
        <v>0</v>
      </c>
      <c r="BE724">
        <v>0</v>
      </c>
      <c r="BF724">
        <v>0</v>
      </c>
    </row>
    <row r="725" spans="54:58" x14ac:dyDescent="0.25">
      <c r="BB725">
        <v>0</v>
      </c>
      <c r="BC725">
        <v>0</v>
      </c>
      <c r="BD725">
        <v>0</v>
      </c>
      <c r="BE725">
        <v>0</v>
      </c>
      <c r="BF725">
        <v>0</v>
      </c>
    </row>
    <row r="726" spans="54:58" x14ac:dyDescent="0.25">
      <c r="BB726">
        <v>0</v>
      </c>
      <c r="BC726">
        <v>0</v>
      </c>
      <c r="BD726">
        <v>0</v>
      </c>
      <c r="BE726">
        <v>0</v>
      </c>
      <c r="BF726">
        <v>0</v>
      </c>
    </row>
    <row r="727" spans="54:58" x14ac:dyDescent="0.25">
      <c r="BB727">
        <v>0</v>
      </c>
      <c r="BC727">
        <v>0</v>
      </c>
      <c r="BD727">
        <v>0</v>
      </c>
      <c r="BE727">
        <v>0</v>
      </c>
      <c r="BF727">
        <v>0</v>
      </c>
    </row>
    <row r="728" spans="54:58" x14ac:dyDescent="0.25">
      <c r="BB728">
        <v>0</v>
      </c>
      <c r="BC728">
        <v>0</v>
      </c>
      <c r="BD728">
        <v>0</v>
      </c>
      <c r="BE728">
        <v>0</v>
      </c>
      <c r="BF728">
        <v>0</v>
      </c>
    </row>
    <row r="729" spans="54:58" x14ac:dyDescent="0.25">
      <c r="BB729">
        <v>0</v>
      </c>
      <c r="BC729">
        <v>0</v>
      </c>
      <c r="BD729">
        <v>0</v>
      </c>
      <c r="BE729">
        <v>0</v>
      </c>
      <c r="BF729">
        <v>0</v>
      </c>
    </row>
    <row r="730" spans="54:58" x14ac:dyDescent="0.25">
      <c r="BB730">
        <v>0</v>
      </c>
      <c r="BC730">
        <v>0</v>
      </c>
      <c r="BD730">
        <v>0</v>
      </c>
      <c r="BE730">
        <v>0</v>
      </c>
      <c r="BF730">
        <v>0</v>
      </c>
    </row>
    <row r="731" spans="54:58" x14ac:dyDescent="0.25">
      <c r="BB731">
        <v>0</v>
      </c>
      <c r="BC731">
        <v>0</v>
      </c>
      <c r="BD731">
        <v>0</v>
      </c>
      <c r="BE731">
        <v>0</v>
      </c>
      <c r="BF731">
        <v>0</v>
      </c>
    </row>
    <row r="732" spans="54:58" x14ac:dyDescent="0.25">
      <c r="BB732">
        <v>0</v>
      </c>
      <c r="BC732">
        <v>0</v>
      </c>
      <c r="BD732">
        <v>0</v>
      </c>
      <c r="BE732">
        <v>0</v>
      </c>
      <c r="BF732">
        <v>0</v>
      </c>
    </row>
    <row r="733" spans="54:58" x14ac:dyDescent="0.25">
      <c r="BB733">
        <v>0</v>
      </c>
      <c r="BC733">
        <v>0</v>
      </c>
      <c r="BD733">
        <v>0</v>
      </c>
      <c r="BE733">
        <v>0</v>
      </c>
      <c r="BF733">
        <v>0</v>
      </c>
    </row>
    <row r="734" spans="54:58" x14ac:dyDescent="0.25">
      <c r="BB734">
        <v>0</v>
      </c>
      <c r="BC734">
        <v>0</v>
      </c>
      <c r="BD734">
        <v>0</v>
      </c>
      <c r="BE734">
        <v>0</v>
      </c>
      <c r="BF734">
        <v>0</v>
      </c>
    </row>
    <row r="735" spans="54:58" x14ac:dyDescent="0.25">
      <c r="BB735">
        <v>0</v>
      </c>
      <c r="BC735">
        <v>0</v>
      </c>
      <c r="BD735">
        <v>0</v>
      </c>
      <c r="BE735">
        <v>0</v>
      </c>
      <c r="BF735">
        <v>0</v>
      </c>
    </row>
    <row r="736" spans="54:58" x14ac:dyDescent="0.25">
      <c r="BB736">
        <v>0</v>
      </c>
      <c r="BC736">
        <v>0</v>
      </c>
      <c r="BD736">
        <v>0</v>
      </c>
      <c r="BE736">
        <v>0</v>
      </c>
      <c r="BF736">
        <v>0</v>
      </c>
    </row>
    <row r="737" spans="54:58" x14ac:dyDescent="0.25">
      <c r="BB737">
        <v>0</v>
      </c>
      <c r="BC737">
        <v>0</v>
      </c>
      <c r="BD737">
        <v>0</v>
      </c>
      <c r="BE737">
        <v>0</v>
      </c>
      <c r="BF737">
        <v>0</v>
      </c>
    </row>
    <row r="738" spans="54:58" x14ac:dyDescent="0.25">
      <c r="BB738">
        <v>0</v>
      </c>
      <c r="BC738">
        <v>0</v>
      </c>
      <c r="BD738">
        <v>0</v>
      </c>
      <c r="BE738">
        <v>0</v>
      </c>
      <c r="BF738">
        <v>0</v>
      </c>
    </row>
    <row r="739" spans="54:58" x14ac:dyDescent="0.25">
      <c r="BB739">
        <v>0</v>
      </c>
      <c r="BC739">
        <v>0</v>
      </c>
      <c r="BD739">
        <v>0</v>
      </c>
      <c r="BE739">
        <v>0</v>
      </c>
      <c r="BF739">
        <v>0</v>
      </c>
    </row>
    <row r="740" spans="54:58" x14ac:dyDescent="0.25">
      <c r="BB740">
        <v>0</v>
      </c>
      <c r="BC740">
        <v>0</v>
      </c>
      <c r="BD740">
        <v>0</v>
      </c>
      <c r="BE740">
        <v>0</v>
      </c>
      <c r="BF740">
        <v>0</v>
      </c>
    </row>
    <row r="741" spans="54:58" x14ac:dyDescent="0.25">
      <c r="BB741">
        <v>0</v>
      </c>
      <c r="BC741">
        <v>0</v>
      </c>
      <c r="BD741">
        <v>0</v>
      </c>
      <c r="BE741">
        <v>0</v>
      </c>
      <c r="BF741">
        <v>0</v>
      </c>
    </row>
    <row r="742" spans="54:58" x14ac:dyDescent="0.25">
      <c r="BB742">
        <v>0</v>
      </c>
      <c r="BC742">
        <v>0</v>
      </c>
      <c r="BD742">
        <v>0</v>
      </c>
      <c r="BE742">
        <v>0</v>
      </c>
      <c r="BF742">
        <v>0</v>
      </c>
    </row>
    <row r="743" spans="54:58" x14ac:dyDescent="0.25">
      <c r="BB743">
        <v>0</v>
      </c>
      <c r="BC743">
        <v>0</v>
      </c>
      <c r="BD743">
        <v>0</v>
      </c>
      <c r="BE743">
        <v>0</v>
      </c>
      <c r="BF743">
        <v>0</v>
      </c>
    </row>
    <row r="744" spans="54:58" x14ac:dyDescent="0.25">
      <c r="BB744">
        <v>0</v>
      </c>
      <c r="BC744">
        <v>0</v>
      </c>
      <c r="BD744">
        <v>0</v>
      </c>
      <c r="BE744">
        <v>0</v>
      </c>
      <c r="BF744">
        <v>0</v>
      </c>
    </row>
    <row r="745" spans="54:58" x14ac:dyDescent="0.25">
      <c r="BB745">
        <v>0</v>
      </c>
      <c r="BC745">
        <v>0</v>
      </c>
      <c r="BD745">
        <v>0</v>
      </c>
      <c r="BE745">
        <v>0</v>
      </c>
      <c r="BF745">
        <v>0</v>
      </c>
    </row>
    <row r="746" spans="54:58" x14ac:dyDescent="0.25">
      <c r="BB746">
        <v>0</v>
      </c>
      <c r="BC746">
        <v>0</v>
      </c>
      <c r="BD746">
        <v>0</v>
      </c>
      <c r="BE746">
        <v>0</v>
      </c>
      <c r="BF746">
        <v>0</v>
      </c>
    </row>
    <row r="747" spans="54:58" x14ac:dyDescent="0.25">
      <c r="BB747">
        <v>0</v>
      </c>
      <c r="BC747">
        <v>0</v>
      </c>
      <c r="BD747">
        <v>0</v>
      </c>
      <c r="BE747">
        <v>0</v>
      </c>
      <c r="BF747">
        <v>0</v>
      </c>
    </row>
    <row r="748" spans="54:58" x14ac:dyDescent="0.25">
      <c r="BB748">
        <v>0</v>
      </c>
      <c r="BC748">
        <v>0</v>
      </c>
      <c r="BD748">
        <v>0</v>
      </c>
      <c r="BE748">
        <v>0</v>
      </c>
      <c r="BF748">
        <v>0</v>
      </c>
    </row>
    <row r="749" spans="54:58" x14ac:dyDescent="0.25">
      <c r="BB749">
        <v>0</v>
      </c>
      <c r="BC749">
        <v>0</v>
      </c>
      <c r="BD749">
        <v>0</v>
      </c>
      <c r="BE749">
        <v>0</v>
      </c>
      <c r="BF749">
        <v>0</v>
      </c>
    </row>
    <row r="750" spans="54:58" x14ac:dyDescent="0.25">
      <c r="BB750">
        <v>0</v>
      </c>
      <c r="BC750">
        <v>0</v>
      </c>
      <c r="BD750">
        <v>0</v>
      </c>
      <c r="BE750">
        <v>0</v>
      </c>
      <c r="BF750">
        <v>0</v>
      </c>
    </row>
    <row r="751" spans="54:58" x14ac:dyDescent="0.25">
      <c r="BB751">
        <v>0</v>
      </c>
      <c r="BC751">
        <v>0</v>
      </c>
      <c r="BD751">
        <v>0</v>
      </c>
      <c r="BE751">
        <v>0</v>
      </c>
      <c r="BF751">
        <v>0</v>
      </c>
    </row>
    <row r="752" spans="54:58" x14ac:dyDescent="0.25">
      <c r="BB752">
        <v>0</v>
      </c>
      <c r="BC752">
        <v>0</v>
      </c>
      <c r="BD752">
        <v>0</v>
      </c>
      <c r="BE752">
        <v>0</v>
      </c>
      <c r="BF752">
        <v>0</v>
      </c>
    </row>
    <row r="753" spans="54:58" x14ac:dyDescent="0.25">
      <c r="BB753">
        <v>0</v>
      </c>
      <c r="BC753">
        <v>0</v>
      </c>
      <c r="BD753">
        <v>0</v>
      </c>
      <c r="BE753">
        <v>0</v>
      </c>
      <c r="BF753">
        <v>0</v>
      </c>
    </row>
    <row r="754" spans="54:58" x14ac:dyDescent="0.25">
      <c r="BB754">
        <v>0</v>
      </c>
      <c r="BC754">
        <v>0</v>
      </c>
      <c r="BD754">
        <v>0</v>
      </c>
      <c r="BE754">
        <v>0</v>
      </c>
      <c r="BF754">
        <v>0</v>
      </c>
    </row>
    <row r="755" spans="54:58" x14ac:dyDescent="0.25">
      <c r="BB755">
        <v>0</v>
      </c>
      <c r="BC755">
        <v>0</v>
      </c>
      <c r="BD755">
        <v>0</v>
      </c>
      <c r="BE755">
        <v>0</v>
      </c>
      <c r="BF755">
        <v>0</v>
      </c>
    </row>
    <row r="756" spans="54:58" x14ac:dyDescent="0.25">
      <c r="BB756">
        <v>0</v>
      </c>
      <c r="BC756">
        <v>0</v>
      </c>
      <c r="BD756">
        <v>0</v>
      </c>
      <c r="BE756">
        <v>0</v>
      </c>
      <c r="BF756">
        <v>0</v>
      </c>
    </row>
    <row r="757" spans="54:58" x14ac:dyDescent="0.25">
      <c r="BB757">
        <v>0</v>
      </c>
      <c r="BC757">
        <v>0</v>
      </c>
      <c r="BD757">
        <v>0</v>
      </c>
      <c r="BE757">
        <v>0</v>
      </c>
      <c r="BF757">
        <v>0</v>
      </c>
    </row>
    <row r="758" spans="54:58" x14ac:dyDescent="0.25">
      <c r="BB758">
        <v>0</v>
      </c>
      <c r="BC758">
        <v>0</v>
      </c>
      <c r="BD758">
        <v>0</v>
      </c>
      <c r="BE758">
        <v>0</v>
      </c>
      <c r="BF758">
        <v>0</v>
      </c>
    </row>
    <row r="759" spans="54:58" x14ac:dyDescent="0.25">
      <c r="BB759">
        <v>0</v>
      </c>
      <c r="BC759">
        <v>0</v>
      </c>
      <c r="BD759">
        <v>0</v>
      </c>
      <c r="BE759">
        <v>0</v>
      </c>
      <c r="BF759">
        <v>0</v>
      </c>
    </row>
    <row r="760" spans="54:58" x14ac:dyDescent="0.25">
      <c r="BB760">
        <v>0</v>
      </c>
      <c r="BC760">
        <v>0</v>
      </c>
      <c r="BD760">
        <v>0</v>
      </c>
      <c r="BE760">
        <v>0</v>
      </c>
      <c r="BF760">
        <v>0</v>
      </c>
    </row>
    <row r="761" spans="54:58" x14ac:dyDescent="0.25">
      <c r="BB761">
        <v>0</v>
      </c>
      <c r="BC761">
        <v>0</v>
      </c>
      <c r="BD761">
        <v>0</v>
      </c>
      <c r="BE761">
        <v>0</v>
      </c>
      <c r="BF761">
        <v>0</v>
      </c>
    </row>
    <row r="762" spans="54:58" x14ac:dyDescent="0.25">
      <c r="BB762">
        <v>0</v>
      </c>
      <c r="BC762">
        <v>0</v>
      </c>
      <c r="BD762">
        <v>0</v>
      </c>
      <c r="BE762">
        <v>0</v>
      </c>
      <c r="BF762">
        <v>0</v>
      </c>
    </row>
    <row r="763" spans="54:58" x14ac:dyDescent="0.25">
      <c r="BB763">
        <v>0</v>
      </c>
      <c r="BC763">
        <v>0</v>
      </c>
      <c r="BD763">
        <v>0</v>
      </c>
      <c r="BE763">
        <v>0</v>
      </c>
      <c r="BF763">
        <v>0</v>
      </c>
    </row>
    <row r="764" spans="54:58" x14ac:dyDescent="0.25">
      <c r="BB764">
        <v>0</v>
      </c>
      <c r="BC764">
        <v>0</v>
      </c>
      <c r="BD764">
        <v>0</v>
      </c>
      <c r="BE764">
        <v>0</v>
      </c>
      <c r="BF764">
        <v>0</v>
      </c>
    </row>
    <row r="765" spans="54:58" x14ac:dyDescent="0.25">
      <c r="BB765">
        <v>0</v>
      </c>
      <c r="BC765">
        <v>0</v>
      </c>
      <c r="BD765">
        <v>0</v>
      </c>
      <c r="BE765">
        <v>0</v>
      </c>
      <c r="BF765">
        <v>0</v>
      </c>
    </row>
    <row r="766" spans="54:58" x14ac:dyDescent="0.25">
      <c r="BB766">
        <v>0</v>
      </c>
      <c r="BC766">
        <v>0</v>
      </c>
      <c r="BD766">
        <v>0</v>
      </c>
      <c r="BE766">
        <v>0</v>
      </c>
      <c r="BF766">
        <v>0</v>
      </c>
    </row>
    <row r="767" spans="54:58" x14ac:dyDescent="0.25">
      <c r="BB767">
        <v>0</v>
      </c>
      <c r="BC767">
        <v>0</v>
      </c>
      <c r="BD767">
        <v>0</v>
      </c>
      <c r="BE767">
        <v>0</v>
      </c>
      <c r="BF767">
        <v>0</v>
      </c>
    </row>
    <row r="768" spans="54:58" x14ac:dyDescent="0.25">
      <c r="BB768">
        <v>0</v>
      </c>
      <c r="BC768">
        <v>0</v>
      </c>
      <c r="BD768">
        <v>0</v>
      </c>
      <c r="BE768">
        <v>0</v>
      </c>
      <c r="BF768">
        <v>0</v>
      </c>
    </row>
    <row r="769" spans="54:58" x14ac:dyDescent="0.25">
      <c r="BB769">
        <v>0</v>
      </c>
      <c r="BC769">
        <v>0</v>
      </c>
      <c r="BD769">
        <v>0</v>
      </c>
      <c r="BE769">
        <v>0</v>
      </c>
      <c r="BF769">
        <v>0</v>
      </c>
    </row>
    <row r="770" spans="54:58" x14ac:dyDescent="0.25">
      <c r="BB770">
        <v>0</v>
      </c>
      <c r="BC770">
        <v>0</v>
      </c>
      <c r="BD770">
        <v>0</v>
      </c>
      <c r="BE770">
        <v>0</v>
      </c>
      <c r="BF770">
        <v>0</v>
      </c>
    </row>
    <row r="771" spans="54:58" x14ac:dyDescent="0.25">
      <c r="BB771">
        <v>0</v>
      </c>
      <c r="BC771">
        <v>0</v>
      </c>
      <c r="BD771">
        <v>0</v>
      </c>
      <c r="BE771">
        <v>0</v>
      </c>
      <c r="BF771">
        <v>0</v>
      </c>
    </row>
    <row r="772" spans="54:58" x14ac:dyDescent="0.25">
      <c r="BB772">
        <v>0</v>
      </c>
      <c r="BC772">
        <v>0</v>
      </c>
      <c r="BD772">
        <v>0</v>
      </c>
      <c r="BE772">
        <v>0</v>
      </c>
      <c r="BF772">
        <v>0</v>
      </c>
    </row>
    <row r="773" spans="54:58" x14ac:dyDescent="0.25">
      <c r="BB773">
        <v>0</v>
      </c>
      <c r="BC773">
        <v>0</v>
      </c>
      <c r="BD773">
        <v>0</v>
      </c>
      <c r="BE773">
        <v>0</v>
      </c>
      <c r="BF773">
        <v>0</v>
      </c>
    </row>
    <row r="774" spans="54:58" x14ac:dyDescent="0.25">
      <c r="BB774">
        <v>0</v>
      </c>
      <c r="BC774">
        <v>0</v>
      </c>
      <c r="BD774">
        <v>0</v>
      </c>
      <c r="BE774">
        <v>0</v>
      </c>
      <c r="BF774">
        <v>0</v>
      </c>
    </row>
    <row r="775" spans="54:58" x14ac:dyDescent="0.25">
      <c r="BB775">
        <v>0</v>
      </c>
      <c r="BC775">
        <v>0</v>
      </c>
      <c r="BD775">
        <v>0</v>
      </c>
      <c r="BE775">
        <v>0</v>
      </c>
      <c r="BF775">
        <v>0</v>
      </c>
    </row>
    <row r="776" spans="54:58" x14ac:dyDescent="0.25">
      <c r="BB776">
        <v>0</v>
      </c>
      <c r="BC776">
        <v>0</v>
      </c>
      <c r="BD776">
        <v>0</v>
      </c>
      <c r="BE776">
        <v>0</v>
      </c>
      <c r="BF776">
        <v>0</v>
      </c>
    </row>
    <row r="777" spans="54:58" x14ac:dyDescent="0.25">
      <c r="BB777">
        <v>0</v>
      </c>
      <c r="BC777">
        <v>0</v>
      </c>
      <c r="BD777">
        <v>0</v>
      </c>
      <c r="BE777">
        <v>0</v>
      </c>
      <c r="BF777">
        <v>0</v>
      </c>
    </row>
    <row r="778" spans="54:58" x14ac:dyDescent="0.25">
      <c r="BB778">
        <v>0</v>
      </c>
      <c r="BC778">
        <v>0</v>
      </c>
      <c r="BD778">
        <v>0</v>
      </c>
      <c r="BE778">
        <v>0</v>
      </c>
      <c r="BF778">
        <v>0</v>
      </c>
    </row>
    <row r="779" spans="54:58" x14ac:dyDescent="0.25">
      <c r="BB779">
        <v>0</v>
      </c>
      <c r="BC779">
        <v>0</v>
      </c>
      <c r="BD779">
        <v>0</v>
      </c>
      <c r="BE779">
        <v>0</v>
      </c>
      <c r="BF779">
        <v>0</v>
      </c>
    </row>
    <row r="780" spans="54:58" x14ac:dyDescent="0.25">
      <c r="BB780">
        <v>0</v>
      </c>
      <c r="BC780">
        <v>0</v>
      </c>
      <c r="BD780">
        <v>0</v>
      </c>
      <c r="BE780">
        <v>0</v>
      </c>
      <c r="BF780">
        <v>0</v>
      </c>
    </row>
    <row r="781" spans="54:58" x14ac:dyDescent="0.25">
      <c r="BB781">
        <v>0</v>
      </c>
      <c r="BC781">
        <v>0</v>
      </c>
      <c r="BD781">
        <v>0</v>
      </c>
      <c r="BE781">
        <v>0</v>
      </c>
      <c r="BF781">
        <v>0</v>
      </c>
    </row>
    <row r="782" spans="54:58" x14ac:dyDescent="0.25">
      <c r="BB782">
        <v>0</v>
      </c>
      <c r="BC782">
        <v>0</v>
      </c>
      <c r="BD782">
        <v>0</v>
      </c>
      <c r="BE782">
        <v>0</v>
      </c>
      <c r="BF782">
        <v>0</v>
      </c>
    </row>
    <row r="783" spans="54:58" x14ac:dyDescent="0.25">
      <c r="BB783">
        <v>0</v>
      </c>
      <c r="BC783">
        <v>0</v>
      </c>
      <c r="BD783">
        <v>0</v>
      </c>
      <c r="BE783">
        <v>0</v>
      </c>
      <c r="BF783">
        <v>0</v>
      </c>
    </row>
    <row r="784" spans="54:58" x14ac:dyDescent="0.25">
      <c r="BB784">
        <v>0</v>
      </c>
      <c r="BC784">
        <v>0</v>
      </c>
      <c r="BD784">
        <v>0</v>
      </c>
      <c r="BE784">
        <v>0</v>
      </c>
      <c r="BF784">
        <v>0</v>
      </c>
    </row>
    <row r="785" spans="54:58" x14ac:dyDescent="0.25">
      <c r="BB785">
        <v>0</v>
      </c>
      <c r="BC785">
        <v>0</v>
      </c>
      <c r="BD785">
        <v>0</v>
      </c>
      <c r="BE785">
        <v>0</v>
      </c>
      <c r="BF785">
        <v>0</v>
      </c>
    </row>
    <row r="786" spans="54:58" x14ac:dyDescent="0.25">
      <c r="BB786">
        <v>0</v>
      </c>
      <c r="BC786">
        <v>0</v>
      </c>
      <c r="BD786">
        <v>0</v>
      </c>
      <c r="BE786">
        <v>0</v>
      </c>
      <c r="BF786">
        <v>0</v>
      </c>
    </row>
    <row r="787" spans="54:58" x14ac:dyDescent="0.25">
      <c r="BB787">
        <v>0</v>
      </c>
      <c r="BC787">
        <v>0</v>
      </c>
      <c r="BD787">
        <v>0</v>
      </c>
      <c r="BE787">
        <v>0</v>
      </c>
      <c r="BF787">
        <v>0</v>
      </c>
    </row>
    <row r="788" spans="54:58" x14ac:dyDescent="0.25">
      <c r="BB788">
        <v>0</v>
      </c>
      <c r="BC788">
        <v>0</v>
      </c>
      <c r="BD788">
        <v>0</v>
      </c>
      <c r="BE788">
        <v>0</v>
      </c>
      <c r="BF788">
        <v>0</v>
      </c>
    </row>
    <row r="789" spans="54:58" x14ac:dyDescent="0.25">
      <c r="BB789">
        <v>0</v>
      </c>
      <c r="BC789">
        <v>0</v>
      </c>
      <c r="BD789">
        <v>0</v>
      </c>
      <c r="BE789">
        <v>0</v>
      </c>
      <c r="BF789">
        <v>0</v>
      </c>
    </row>
    <row r="790" spans="54:58" x14ac:dyDescent="0.25">
      <c r="BB790">
        <v>0</v>
      </c>
      <c r="BC790">
        <v>0</v>
      </c>
      <c r="BD790">
        <v>0</v>
      </c>
      <c r="BE790">
        <v>0</v>
      </c>
      <c r="BF790">
        <v>0</v>
      </c>
    </row>
    <row r="791" spans="54:58" x14ac:dyDescent="0.25">
      <c r="BB791">
        <v>0</v>
      </c>
      <c r="BC791">
        <v>0</v>
      </c>
      <c r="BD791">
        <v>0</v>
      </c>
      <c r="BE791">
        <v>0</v>
      </c>
      <c r="BF791">
        <v>0</v>
      </c>
    </row>
    <row r="792" spans="54:58" x14ac:dyDescent="0.25">
      <c r="BB792">
        <v>0</v>
      </c>
      <c r="BC792">
        <v>0</v>
      </c>
      <c r="BD792">
        <v>0</v>
      </c>
      <c r="BE792">
        <v>0</v>
      </c>
      <c r="BF792">
        <v>0</v>
      </c>
    </row>
    <row r="793" spans="54:58" x14ac:dyDescent="0.25">
      <c r="BB793">
        <v>0</v>
      </c>
      <c r="BC793">
        <v>0</v>
      </c>
      <c r="BD793">
        <v>0</v>
      </c>
      <c r="BE793">
        <v>0</v>
      </c>
      <c r="BF793">
        <v>0</v>
      </c>
    </row>
    <row r="794" spans="54:58" x14ac:dyDescent="0.25">
      <c r="BB794">
        <v>0</v>
      </c>
      <c r="BC794">
        <v>0</v>
      </c>
      <c r="BD794">
        <v>0</v>
      </c>
      <c r="BE794">
        <v>0</v>
      </c>
      <c r="BF794">
        <v>0</v>
      </c>
    </row>
    <row r="795" spans="54:58" x14ac:dyDescent="0.25">
      <c r="BB795">
        <v>0</v>
      </c>
      <c r="BC795">
        <v>0</v>
      </c>
      <c r="BD795">
        <v>0</v>
      </c>
      <c r="BE795">
        <v>0</v>
      </c>
      <c r="BF795">
        <v>0</v>
      </c>
    </row>
    <row r="796" spans="54:58" x14ac:dyDescent="0.25">
      <c r="BB796">
        <v>0</v>
      </c>
      <c r="BC796">
        <v>0</v>
      </c>
      <c r="BD796">
        <v>0</v>
      </c>
      <c r="BE796">
        <v>0</v>
      </c>
      <c r="BF796">
        <v>0</v>
      </c>
    </row>
    <row r="797" spans="54:58" x14ac:dyDescent="0.25">
      <c r="BB797">
        <v>0</v>
      </c>
      <c r="BC797">
        <v>0</v>
      </c>
      <c r="BD797">
        <v>0</v>
      </c>
      <c r="BE797">
        <v>0</v>
      </c>
      <c r="BF797">
        <v>0</v>
      </c>
    </row>
    <row r="798" spans="54:58" x14ac:dyDescent="0.25">
      <c r="BB798">
        <v>0</v>
      </c>
      <c r="BC798">
        <v>0</v>
      </c>
      <c r="BD798">
        <v>0</v>
      </c>
      <c r="BE798">
        <v>0</v>
      </c>
      <c r="BF798">
        <v>0</v>
      </c>
    </row>
    <row r="799" spans="54:58" x14ac:dyDescent="0.25">
      <c r="BB799">
        <v>0</v>
      </c>
      <c r="BC799">
        <v>0</v>
      </c>
      <c r="BD799">
        <v>0</v>
      </c>
      <c r="BE799">
        <v>0</v>
      </c>
      <c r="BF799">
        <v>0</v>
      </c>
    </row>
    <row r="800" spans="54:58" x14ac:dyDescent="0.25">
      <c r="BB800">
        <v>0</v>
      </c>
      <c r="BC800">
        <v>0</v>
      </c>
      <c r="BD800">
        <v>0</v>
      </c>
      <c r="BE800">
        <v>0</v>
      </c>
      <c r="BF800">
        <v>0</v>
      </c>
    </row>
    <row r="801" spans="54:58" x14ac:dyDescent="0.25">
      <c r="BB801">
        <v>0</v>
      </c>
      <c r="BC801">
        <v>0</v>
      </c>
      <c r="BD801">
        <v>0</v>
      </c>
      <c r="BE801">
        <v>0</v>
      </c>
      <c r="BF801">
        <v>0</v>
      </c>
    </row>
    <row r="802" spans="54:58" x14ac:dyDescent="0.25">
      <c r="BB802">
        <v>0</v>
      </c>
      <c r="BC802">
        <v>0</v>
      </c>
      <c r="BD802">
        <v>0</v>
      </c>
      <c r="BE802">
        <v>0</v>
      </c>
      <c r="BF802">
        <v>0</v>
      </c>
    </row>
    <row r="803" spans="54:58" x14ac:dyDescent="0.25">
      <c r="BB803">
        <v>0</v>
      </c>
      <c r="BC803">
        <v>0</v>
      </c>
      <c r="BD803">
        <v>0</v>
      </c>
      <c r="BE803">
        <v>0</v>
      </c>
      <c r="BF803">
        <v>0</v>
      </c>
    </row>
    <row r="804" spans="54:58" x14ac:dyDescent="0.25">
      <c r="BB804">
        <v>0</v>
      </c>
      <c r="BC804">
        <v>0</v>
      </c>
      <c r="BD804">
        <v>0</v>
      </c>
      <c r="BE804">
        <v>0</v>
      </c>
      <c r="BF804">
        <v>0</v>
      </c>
    </row>
    <row r="805" spans="54:58" x14ac:dyDescent="0.25">
      <c r="BB805">
        <v>0</v>
      </c>
      <c r="BC805">
        <v>0</v>
      </c>
      <c r="BD805">
        <v>0</v>
      </c>
      <c r="BE805">
        <v>0</v>
      </c>
      <c r="BF805">
        <v>0</v>
      </c>
    </row>
    <row r="806" spans="54:58" x14ac:dyDescent="0.25">
      <c r="BB806">
        <v>0</v>
      </c>
      <c r="BC806">
        <v>0</v>
      </c>
      <c r="BD806">
        <v>0</v>
      </c>
      <c r="BE806">
        <v>0</v>
      </c>
      <c r="BF806">
        <v>0</v>
      </c>
    </row>
    <row r="807" spans="54:58" x14ac:dyDescent="0.25">
      <c r="BB807">
        <v>0</v>
      </c>
      <c r="BC807">
        <v>0</v>
      </c>
      <c r="BD807">
        <v>0</v>
      </c>
      <c r="BE807">
        <v>0</v>
      </c>
      <c r="BF807">
        <v>0</v>
      </c>
    </row>
    <row r="808" spans="54:58" x14ac:dyDescent="0.25">
      <c r="BB808">
        <v>0</v>
      </c>
      <c r="BC808">
        <v>0</v>
      </c>
      <c r="BD808">
        <v>0</v>
      </c>
      <c r="BE808">
        <v>0</v>
      </c>
      <c r="BF808">
        <v>0</v>
      </c>
    </row>
    <row r="809" spans="54:58" x14ac:dyDescent="0.25">
      <c r="BB809">
        <v>0</v>
      </c>
      <c r="BC809">
        <v>0</v>
      </c>
      <c r="BD809">
        <v>0</v>
      </c>
      <c r="BE809">
        <v>0</v>
      </c>
      <c r="BF809">
        <v>0</v>
      </c>
    </row>
    <row r="810" spans="54:58" x14ac:dyDescent="0.25">
      <c r="BB810">
        <v>0</v>
      </c>
      <c r="BC810">
        <v>0</v>
      </c>
      <c r="BD810">
        <v>0</v>
      </c>
      <c r="BE810">
        <v>0</v>
      </c>
      <c r="BF810">
        <v>0</v>
      </c>
    </row>
    <row r="811" spans="54:58" x14ac:dyDescent="0.25">
      <c r="BB811">
        <v>0</v>
      </c>
      <c r="BC811">
        <v>0</v>
      </c>
      <c r="BD811">
        <v>0</v>
      </c>
      <c r="BE811">
        <v>0</v>
      </c>
      <c r="BF811">
        <v>0</v>
      </c>
    </row>
    <row r="812" spans="54:58" x14ac:dyDescent="0.25">
      <c r="BB812">
        <v>0</v>
      </c>
      <c r="BC812">
        <v>0</v>
      </c>
      <c r="BD812">
        <v>0</v>
      </c>
      <c r="BE812">
        <v>0</v>
      </c>
      <c r="BF812">
        <v>0</v>
      </c>
    </row>
    <row r="813" spans="54:58" x14ac:dyDescent="0.25">
      <c r="BB813">
        <v>0</v>
      </c>
      <c r="BC813">
        <v>0</v>
      </c>
      <c r="BD813">
        <v>0</v>
      </c>
      <c r="BE813">
        <v>0</v>
      </c>
      <c r="BF813">
        <v>0</v>
      </c>
    </row>
    <row r="814" spans="54:58" x14ac:dyDescent="0.25">
      <c r="BB814">
        <v>0</v>
      </c>
      <c r="BC814">
        <v>0</v>
      </c>
      <c r="BD814">
        <v>0</v>
      </c>
      <c r="BE814">
        <v>0</v>
      </c>
      <c r="BF814">
        <v>0</v>
      </c>
    </row>
    <row r="815" spans="54:58" x14ac:dyDescent="0.25">
      <c r="BB815">
        <v>0</v>
      </c>
      <c r="BC815">
        <v>0</v>
      </c>
      <c r="BD815">
        <v>0</v>
      </c>
      <c r="BE815">
        <v>0</v>
      </c>
      <c r="BF815">
        <v>0</v>
      </c>
    </row>
    <row r="816" spans="54:58" x14ac:dyDescent="0.25">
      <c r="BB816">
        <v>0</v>
      </c>
      <c r="BC816">
        <v>0</v>
      </c>
      <c r="BD816">
        <v>0</v>
      </c>
      <c r="BE816">
        <v>0</v>
      </c>
      <c r="BF816">
        <v>0</v>
      </c>
    </row>
    <row r="817" spans="54:58" x14ac:dyDescent="0.25">
      <c r="BB817">
        <v>0</v>
      </c>
      <c r="BC817">
        <v>0</v>
      </c>
      <c r="BD817">
        <v>0</v>
      </c>
      <c r="BE817">
        <v>0</v>
      </c>
      <c r="BF817">
        <v>0</v>
      </c>
    </row>
    <row r="818" spans="54:58" x14ac:dyDescent="0.25">
      <c r="BB818">
        <v>0</v>
      </c>
      <c r="BC818">
        <v>0</v>
      </c>
      <c r="BD818">
        <v>0</v>
      </c>
      <c r="BE818">
        <v>0</v>
      </c>
      <c r="BF818">
        <v>0</v>
      </c>
    </row>
    <row r="819" spans="54:58" x14ac:dyDescent="0.25">
      <c r="BB819">
        <v>0</v>
      </c>
      <c r="BC819">
        <v>0</v>
      </c>
      <c r="BD819">
        <v>0</v>
      </c>
      <c r="BE819">
        <v>0</v>
      </c>
      <c r="BF819">
        <v>0</v>
      </c>
    </row>
    <row r="820" spans="54:58" x14ac:dyDescent="0.25">
      <c r="BB820">
        <v>0</v>
      </c>
      <c r="BC820">
        <v>0</v>
      </c>
      <c r="BD820">
        <v>0</v>
      </c>
      <c r="BE820">
        <v>0</v>
      </c>
      <c r="BF820">
        <v>0</v>
      </c>
    </row>
    <row r="821" spans="54:58" x14ac:dyDescent="0.25">
      <c r="BB821">
        <v>0</v>
      </c>
      <c r="BC821">
        <v>0</v>
      </c>
      <c r="BD821">
        <v>0</v>
      </c>
      <c r="BE821">
        <v>0</v>
      </c>
      <c r="BF821">
        <v>0</v>
      </c>
    </row>
    <row r="822" spans="54:58" x14ac:dyDescent="0.25">
      <c r="BB822">
        <v>0</v>
      </c>
      <c r="BC822">
        <v>0</v>
      </c>
      <c r="BD822">
        <v>0</v>
      </c>
      <c r="BE822">
        <v>0</v>
      </c>
      <c r="BF822">
        <v>0</v>
      </c>
    </row>
    <row r="823" spans="54:58" x14ac:dyDescent="0.25">
      <c r="BB823">
        <v>0</v>
      </c>
      <c r="BC823">
        <v>0</v>
      </c>
      <c r="BD823">
        <v>0</v>
      </c>
      <c r="BE823">
        <v>0</v>
      </c>
      <c r="BF823">
        <v>0</v>
      </c>
    </row>
    <row r="824" spans="54:58" x14ac:dyDescent="0.25">
      <c r="BB824">
        <v>0</v>
      </c>
      <c r="BC824">
        <v>0</v>
      </c>
      <c r="BD824">
        <v>0</v>
      </c>
      <c r="BE824">
        <v>0</v>
      </c>
      <c r="BF824">
        <v>0</v>
      </c>
    </row>
    <row r="825" spans="54:58" x14ac:dyDescent="0.25">
      <c r="BB825">
        <v>0</v>
      </c>
      <c r="BC825">
        <v>0</v>
      </c>
      <c r="BD825">
        <v>0</v>
      </c>
      <c r="BE825">
        <v>0</v>
      </c>
      <c r="BF825">
        <v>0</v>
      </c>
    </row>
    <row r="826" spans="54:58" x14ac:dyDescent="0.25">
      <c r="BB826">
        <v>0</v>
      </c>
      <c r="BC826">
        <v>0</v>
      </c>
      <c r="BD826">
        <v>0</v>
      </c>
      <c r="BE826">
        <v>0</v>
      </c>
      <c r="BF826">
        <v>0</v>
      </c>
    </row>
    <row r="827" spans="54:58" x14ac:dyDescent="0.25">
      <c r="BB827">
        <v>0</v>
      </c>
      <c r="BC827">
        <v>0</v>
      </c>
      <c r="BD827">
        <v>0</v>
      </c>
      <c r="BE827">
        <v>0</v>
      </c>
      <c r="BF827">
        <v>0</v>
      </c>
    </row>
    <row r="828" spans="54:58" x14ac:dyDescent="0.25">
      <c r="BB828">
        <v>0</v>
      </c>
      <c r="BC828">
        <v>0</v>
      </c>
      <c r="BD828">
        <v>0</v>
      </c>
      <c r="BE828">
        <v>0</v>
      </c>
      <c r="BF828">
        <v>0</v>
      </c>
    </row>
    <row r="829" spans="54:58" x14ac:dyDescent="0.25">
      <c r="BB829">
        <v>0</v>
      </c>
      <c r="BC829">
        <v>0</v>
      </c>
      <c r="BD829">
        <v>0</v>
      </c>
      <c r="BE829">
        <v>0</v>
      </c>
      <c r="BF829">
        <v>0</v>
      </c>
    </row>
    <row r="830" spans="54:58" x14ac:dyDescent="0.25">
      <c r="BB830">
        <v>0</v>
      </c>
      <c r="BC830">
        <v>0</v>
      </c>
      <c r="BD830">
        <v>0</v>
      </c>
      <c r="BE830">
        <v>0</v>
      </c>
      <c r="BF830">
        <v>0</v>
      </c>
    </row>
    <row r="831" spans="54:58" x14ac:dyDescent="0.25">
      <c r="BB831">
        <v>0</v>
      </c>
      <c r="BC831">
        <v>0</v>
      </c>
      <c r="BD831">
        <v>0</v>
      </c>
      <c r="BE831">
        <v>0</v>
      </c>
      <c r="BF831">
        <v>0</v>
      </c>
    </row>
    <row r="832" spans="54:58" x14ac:dyDescent="0.25">
      <c r="BB832">
        <v>0</v>
      </c>
      <c r="BC832">
        <v>0</v>
      </c>
      <c r="BD832">
        <v>0</v>
      </c>
      <c r="BE832">
        <v>0</v>
      </c>
      <c r="BF832">
        <v>0</v>
      </c>
    </row>
    <row r="833" spans="54:58" x14ac:dyDescent="0.25">
      <c r="BB833">
        <v>0</v>
      </c>
      <c r="BC833">
        <v>0</v>
      </c>
      <c r="BD833">
        <v>0</v>
      </c>
      <c r="BE833">
        <v>0</v>
      </c>
      <c r="BF833">
        <v>0</v>
      </c>
    </row>
    <row r="834" spans="54:58" x14ac:dyDescent="0.25">
      <c r="BB834">
        <v>0</v>
      </c>
      <c r="BC834">
        <v>0</v>
      </c>
      <c r="BD834">
        <v>0</v>
      </c>
      <c r="BE834">
        <v>0</v>
      </c>
      <c r="BF834">
        <v>0</v>
      </c>
    </row>
    <row r="835" spans="54:58" x14ac:dyDescent="0.25">
      <c r="BB835">
        <v>0</v>
      </c>
      <c r="BC835">
        <v>0</v>
      </c>
      <c r="BD835">
        <v>0</v>
      </c>
      <c r="BE835">
        <v>0</v>
      </c>
      <c r="BF835">
        <v>0</v>
      </c>
    </row>
    <row r="836" spans="54:58" x14ac:dyDescent="0.25">
      <c r="BB836">
        <v>0</v>
      </c>
      <c r="BC836">
        <v>0</v>
      </c>
      <c r="BD836">
        <v>0</v>
      </c>
      <c r="BE836">
        <v>0</v>
      </c>
      <c r="BF836">
        <v>0</v>
      </c>
    </row>
    <row r="837" spans="54:58" x14ac:dyDescent="0.25">
      <c r="BB837">
        <v>0</v>
      </c>
      <c r="BC837">
        <v>0</v>
      </c>
      <c r="BD837">
        <v>0</v>
      </c>
      <c r="BE837">
        <v>0</v>
      </c>
      <c r="BF837">
        <v>0</v>
      </c>
    </row>
    <row r="838" spans="54:58" x14ac:dyDescent="0.25">
      <c r="BB838">
        <v>0</v>
      </c>
      <c r="BC838">
        <v>0</v>
      </c>
      <c r="BD838">
        <v>0</v>
      </c>
      <c r="BE838">
        <v>0</v>
      </c>
      <c r="BF838">
        <v>0</v>
      </c>
    </row>
    <row r="839" spans="54:58" x14ac:dyDescent="0.25">
      <c r="BB839">
        <v>0</v>
      </c>
      <c r="BC839">
        <v>0</v>
      </c>
      <c r="BD839">
        <v>0</v>
      </c>
      <c r="BE839">
        <v>0</v>
      </c>
      <c r="BF839">
        <v>0</v>
      </c>
    </row>
    <row r="840" spans="54:58" x14ac:dyDescent="0.25">
      <c r="BB840">
        <v>0</v>
      </c>
      <c r="BC840">
        <v>0</v>
      </c>
      <c r="BD840">
        <v>0</v>
      </c>
      <c r="BE840">
        <v>0</v>
      </c>
      <c r="BF840">
        <v>0</v>
      </c>
    </row>
    <row r="841" spans="54:58" x14ac:dyDescent="0.25">
      <c r="BB841">
        <v>0</v>
      </c>
      <c r="BC841">
        <v>0</v>
      </c>
      <c r="BD841">
        <v>0</v>
      </c>
      <c r="BE841">
        <v>0</v>
      </c>
      <c r="BF841">
        <v>0</v>
      </c>
    </row>
    <row r="842" spans="54:58" x14ac:dyDescent="0.25">
      <c r="BB842">
        <v>0</v>
      </c>
      <c r="BC842">
        <v>0</v>
      </c>
      <c r="BD842">
        <v>0</v>
      </c>
      <c r="BE842">
        <v>0</v>
      </c>
      <c r="BF842">
        <v>0</v>
      </c>
    </row>
    <row r="843" spans="54:58" x14ac:dyDescent="0.25">
      <c r="BB843">
        <v>0</v>
      </c>
      <c r="BC843">
        <v>0</v>
      </c>
      <c r="BD843">
        <v>0</v>
      </c>
      <c r="BE843">
        <v>0</v>
      </c>
      <c r="BF843">
        <v>0</v>
      </c>
    </row>
    <row r="844" spans="54:58" x14ac:dyDescent="0.25">
      <c r="BB844">
        <v>0</v>
      </c>
      <c r="BC844">
        <v>0</v>
      </c>
      <c r="BD844">
        <v>0</v>
      </c>
      <c r="BE844">
        <v>0</v>
      </c>
      <c r="BF844">
        <v>0</v>
      </c>
    </row>
    <row r="845" spans="54:58" x14ac:dyDescent="0.25">
      <c r="BB845">
        <v>0</v>
      </c>
      <c r="BC845">
        <v>0</v>
      </c>
      <c r="BD845">
        <v>0</v>
      </c>
      <c r="BE845">
        <v>0</v>
      </c>
      <c r="BF845">
        <v>0</v>
      </c>
    </row>
    <row r="846" spans="54:58" x14ac:dyDescent="0.25">
      <c r="BB846">
        <v>0</v>
      </c>
      <c r="BC846">
        <v>0</v>
      </c>
      <c r="BD846">
        <v>0</v>
      </c>
      <c r="BE846">
        <v>0</v>
      </c>
      <c r="BF846">
        <v>0</v>
      </c>
    </row>
    <row r="847" spans="54:58" x14ac:dyDescent="0.25">
      <c r="BB847">
        <v>0</v>
      </c>
      <c r="BC847">
        <v>0</v>
      </c>
      <c r="BD847">
        <v>0</v>
      </c>
      <c r="BE847">
        <v>0</v>
      </c>
      <c r="BF847">
        <v>0</v>
      </c>
    </row>
    <row r="848" spans="54:58" x14ac:dyDescent="0.25">
      <c r="BB848">
        <v>0</v>
      </c>
      <c r="BC848">
        <v>0</v>
      </c>
      <c r="BD848">
        <v>0</v>
      </c>
      <c r="BE848">
        <v>0</v>
      </c>
      <c r="BF848">
        <v>0</v>
      </c>
    </row>
    <row r="849" spans="54:58" x14ac:dyDescent="0.25">
      <c r="BB849">
        <v>0</v>
      </c>
      <c r="BC849">
        <v>0</v>
      </c>
      <c r="BD849">
        <v>0</v>
      </c>
      <c r="BE849">
        <v>0</v>
      </c>
      <c r="BF849">
        <v>0</v>
      </c>
    </row>
    <row r="850" spans="54:58" x14ac:dyDescent="0.25">
      <c r="BB850">
        <v>0</v>
      </c>
      <c r="BC850">
        <v>0</v>
      </c>
      <c r="BD850">
        <v>0</v>
      </c>
      <c r="BE850">
        <v>0</v>
      </c>
      <c r="BF850">
        <v>0</v>
      </c>
    </row>
    <row r="851" spans="54:58" x14ac:dyDescent="0.25">
      <c r="BB851">
        <v>0</v>
      </c>
      <c r="BC851">
        <v>0</v>
      </c>
      <c r="BD851">
        <v>0</v>
      </c>
      <c r="BE851">
        <v>0</v>
      </c>
      <c r="BF851">
        <v>0</v>
      </c>
    </row>
    <row r="852" spans="54:58" x14ac:dyDescent="0.25">
      <c r="BB852">
        <v>0</v>
      </c>
      <c r="BC852">
        <v>0</v>
      </c>
      <c r="BD852">
        <v>0</v>
      </c>
      <c r="BE852">
        <v>0</v>
      </c>
      <c r="BF852">
        <v>0</v>
      </c>
    </row>
    <row r="853" spans="54:58" x14ac:dyDescent="0.25">
      <c r="BB853">
        <v>0</v>
      </c>
      <c r="BC853">
        <v>0</v>
      </c>
      <c r="BD853">
        <v>0</v>
      </c>
      <c r="BE853">
        <v>0</v>
      </c>
      <c r="BF853">
        <v>0</v>
      </c>
    </row>
    <row r="854" spans="54:58" x14ac:dyDescent="0.25">
      <c r="BB854">
        <v>0</v>
      </c>
      <c r="BC854">
        <v>0</v>
      </c>
      <c r="BD854">
        <v>0</v>
      </c>
      <c r="BE854">
        <v>0</v>
      </c>
      <c r="BF854">
        <v>0</v>
      </c>
    </row>
    <row r="855" spans="54:58" x14ac:dyDescent="0.25">
      <c r="BB855">
        <v>0</v>
      </c>
      <c r="BC855">
        <v>0</v>
      </c>
      <c r="BD855">
        <v>0</v>
      </c>
      <c r="BE855">
        <v>0</v>
      </c>
      <c r="BF855">
        <v>0</v>
      </c>
    </row>
    <row r="856" spans="54:58" x14ac:dyDescent="0.25">
      <c r="BB856">
        <v>0</v>
      </c>
      <c r="BC856">
        <v>0</v>
      </c>
      <c r="BD856">
        <v>0</v>
      </c>
      <c r="BE856">
        <v>0</v>
      </c>
      <c r="BF856">
        <v>0</v>
      </c>
    </row>
    <row r="857" spans="54:58" x14ac:dyDescent="0.25">
      <c r="BB857">
        <v>0</v>
      </c>
      <c r="BC857">
        <v>0</v>
      </c>
      <c r="BD857">
        <v>0</v>
      </c>
      <c r="BE857">
        <v>0</v>
      </c>
      <c r="BF857">
        <v>0</v>
      </c>
    </row>
    <row r="858" spans="54:58" x14ac:dyDescent="0.25">
      <c r="BB858">
        <v>0</v>
      </c>
      <c r="BC858">
        <v>0</v>
      </c>
      <c r="BD858">
        <v>0</v>
      </c>
      <c r="BE858">
        <v>0</v>
      </c>
      <c r="BF858">
        <v>0</v>
      </c>
    </row>
    <row r="859" spans="54:58" x14ac:dyDescent="0.25">
      <c r="BB859">
        <v>0</v>
      </c>
      <c r="BC859">
        <v>0</v>
      </c>
      <c r="BD859">
        <v>0</v>
      </c>
      <c r="BE859">
        <v>0</v>
      </c>
      <c r="BF859">
        <v>0</v>
      </c>
    </row>
    <row r="860" spans="54:58" x14ac:dyDescent="0.25">
      <c r="BB860">
        <v>0</v>
      </c>
      <c r="BC860">
        <v>0</v>
      </c>
      <c r="BD860">
        <v>0</v>
      </c>
      <c r="BE860">
        <v>0</v>
      </c>
      <c r="BF860">
        <v>0</v>
      </c>
    </row>
    <row r="861" spans="54:58" x14ac:dyDescent="0.25">
      <c r="BB861">
        <v>0</v>
      </c>
      <c r="BC861">
        <v>0</v>
      </c>
      <c r="BD861">
        <v>0</v>
      </c>
      <c r="BE861">
        <v>0</v>
      </c>
      <c r="BF861">
        <v>0</v>
      </c>
    </row>
    <row r="862" spans="54:58" x14ac:dyDescent="0.25">
      <c r="BB862">
        <v>0</v>
      </c>
      <c r="BC862">
        <v>0</v>
      </c>
      <c r="BD862">
        <v>0</v>
      </c>
      <c r="BE862">
        <v>0</v>
      </c>
      <c r="BF862">
        <v>0</v>
      </c>
    </row>
    <row r="863" spans="54:58" x14ac:dyDescent="0.25">
      <c r="BB863">
        <v>0</v>
      </c>
      <c r="BC863">
        <v>0</v>
      </c>
      <c r="BD863">
        <v>0</v>
      </c>
      <c r="BE863">
        <v>0</v>
      </c>
      <c r="BF863">
        <v>0</v>
      </c>
    </row>
    <row r="864" spans="54:58" x14ac:dyDescent="0.25">
      <c r="BB864">
        <v>0</v>
      </c>
      <c r="BC864">
        <v>0</v>
      </c>
      <c r="BD864">
        <v>0</v>
      </c>
      <c r="BE864">
        <v>0</v>
      </c>
      <c r="BF864">
        <v>0</v>
      </c>
    </row>
    <row r="865" spans="54:58" x14ac:dyDescent="0.25">
      <c r="BB865">
        <v>0</v>
      </c>
      <c r="BC865">
        <v>0</v>
      </c>
      <c r="BD865">
        <v>0</v>
      </c>
      <c r="BE865">
        <v>0</v>
      </c>
      <c r="BF865">
        <v>0</v>
      </c>
    </row>
    <row r="866" spans="54:58" x14ac:dyDescent="0.25">
      <c r="BB866">
        <v>0</v>
      </c>
      <c r="BC866">
        <v>0</v>
      </c>
      <c r="BD866">
        <v>0</v>
      </c>
      <c r="BE866">
        <v>0</v>
      </c>
      <c r="BF866">
        <v>0</v>
      </c>
    </row>
    <row r="867" spans="54:58" x14ac:dyDescent="0.25">
      <c r="BB867">
        <v>0</v>
      </c>
      <c r="BC867">
        <v>0</v>
      </c>
      <c r="BD867">
        <v>0</v>
      </c>
      <c r="BE867">
        <v>0</v>
      </c>
      <c r="BF867">
        <v>0</v>
      </c>
    </row>
    <row r="868" spans="54:58" x14ac:dyDescent="0.25">
      <c r="BB868">
        <v>0</v>
      </c>
      <c r="BC868">
        <v>0</v>
      </c>
      <c r="BD868">
        <v>0</v>
      </c>
      <c r="BE868">
        <v>0</v>
      </c>
      <c r="BF868">
        <v>0</v>
      </c>
    </row>
    <row r="869" spans="54:58" x14ac:dyDescent="0.25">
      <c r="BB869">
        <v>0</v>
      </c>
      <c r="BC869">
        <v>0</v>
      </c>
      <c r="BD869">
        <v>0</v>
      </c>
      <c r="BE869">
        <v>0</v>
      </c>
      <c r="BF869">
        <v>0</v>
      </c>
    </row>
    <row r="870" spans="54:58" x14ac:dyDescent="0.25">
      <c r="BB870">
        <v>0</v>
      </c>
      <c r="BC870">
        <v>0</v>
      </c>
      <c r="BD870">
        <v>0</v>
      </c>
      <c r="BE870">
        <v>0</v>
      </c>
      <c r="BF870">
        <v>0</v>
      </c>
    </row>
    <row r="871" spans="54:58" x14ac:dyDescent="0.25">
      <c r="BB871">
        <v>0</v>
      </c>
      <c r="BC871">
        <v>0</v>
      </c>
      <c r="BD871">
        <v>0</v>
      </c>
      <c r="BE871">
        <v>0</v>
      </c>
      <c r="BF871">
        <v>0</v>
      </c>
    </row>
    <row r="872" spans="54:58" x14ac:dyDescent="0.25">
      <c r="BB872">
        <v>0</v>
      </c>
      <c r="BC872">
        <v>0</v>
      </c>
      <c r="BD872">
        <v>0</v>
      </c>
      <c r="BE872">
        <v>0</v>
      </c>
      <c r="BF872">
        <v>0</v>
      </c>
    </row>
    <row r="873" spans="54:58" x14ac:dyDescent="0.25">
      <c r="BB873">
        <v>0</v>
      </c>
      <c r="BC873">
        <v>0</v>
      </c>
      <c r="BD873">
        <v>0</v>
      </c>
      <c r="BE873">
        <v>0</v>
      </c>
      <c r="BF873">
        <v>0</v>
      </c>
    </row>
    <row r="874" spans="54:58" x14ac:dyDescent="0.25">
      <c r="BB874">
        <v>0</v>
      </c>
      <c r="BC874">
        <v>0</v>
      </c>
      <c r="BD874">
        <v>0</v>
      </c>
      <c r="BE874">
        <v>0</v>
      </c>
      <c r="BF874">
        <v>0</v>
      </c>
    </row>
    <row r="875" spans="54:58" x14ac:dyDescent="0.25">
      <c r="BB875">
        <v>0</v>
      </c>
      <c r="BC875">
        <v>0</v>
      </c>
      <c r="BD875">
        <v>0</v>
      </c>
      <c r="BE875">
        <v>0</v>
      </c>
      <c r="BF875">
        <v>0</v>
      </c>
    </row>
    <row r="876" spans="54:58" x14ac:dyDescent="0.25">
      <c r="BB876">
        <v>0</v>
      </c>
      <c r="BC876">
        <v>0</v>
      </c>
      <c r="BD876">
        <v>0</v>
      </c>
      <c r="BE876">
        <v>0</v>
      </c>
      <c r="BF876">
        <v>0</v>
      </c>
    </row>
    <row r="877" spans="54:58" x14ac:dyDescent="0.25">
      <c r="BB877">
        <v>0</v>
      </c>
      <c r="BC877">
        <v>0</v>
      </c>
      <c r="BD877">
        <v>0</v>
      </c>
      <c r="BE877">
        <v>0</v>
      </c>
      <c r="BF877">
        <v>0</v>
      </c>
    </row>
    <row r="878" spans="54:58" x14ac:dyDescent="0.25">
      <c r="BB878">
        <v>0</v>
      </c>
      <c r="BC878">
        <v>0</v>
      </c>
      <c r="BD878">
        <v>0</v>
      </c>
      <c r="BE878">
        <v>0</v>
      </c>
      <c r="BF878">
        <v>0</v>
      </c>
    </row>
    <row r="879" spans="54:58" x14ac:dyDescent="0.25">
      <c r="BB879">
        <v>0</v>
      </c>
      <c r="BC879">
        <v>0</v>
      </c>
      <c r="BD879">
        <v>0</v>
      </c>
      <c r="BE879">
        <v>0</v>
      </c>
      <c r="BF879">
        <v>0</v>
      </c>
    </row>
    <row r="880" spans="54:58" x14ac:dyDescent="0.25">
      <c r="BB880">
        <v>0</v>
      </c>
      <c r="BC880">
        <v>0</v>
      </c>
      <c r="BD880">
        <v>0</v>
      </c>
      <c r="BE880">
        <v>0</v>
      </c>
      <c r="BF880">
        <v>0</v>
      </c>
    </row>
    <row r="881" spans="54:58" x14ac:dyDescent="0.25">
      <c r="BB881">
        <v>0</v>
      </c>
      <c r="BC881">
        <v>0</v>
      </c>
      <c r="BD881">
        <v>0</v>
      </c>
      <c r="BE881">
        <v>0</v>
      </c>
      <c r="BF881">
        <v>0</v>
      </c>
    </row>
    <row r="882" spans="54:58" x14ac:dyDescent="0.25">
      <c r="BB882">
        <v>0</v>
      </c>
      <c r="BC882">
        <v>0</v>
      </c>
      <c r="BD882">
        <v>0</v>
      </c>
      <c r="BE882">
        <v>0</v>
      </c>
      <c r="BF882">
        <v>0</v>
      </c>
    </row>
    <row r="883" spans="54:58" x14ac:dyDescent="0.25">
      <c r="BB883">
        <v>0</v>
      </c>
      <c r="BC883">
        <v>0</v>
      </c>
      <c r="BD883">
        <v>0</v>
      </c>
      <c r="BE883">
        <v>0</v>
      </c>
      <c r="BF883">
        <v>0</v>
      </c>
    </row>
    <row r="884" spans="54:58" x14ac:dyDescent="0.25">
      <c r="BB884">
        <v>0</v>
      </c>
      <c r="BC884">
        <v>0</v>
      </c>
      <c r="BD884">
        <v>0</v>
      </c>
      <c r="BE884">
        <v>0</v>
      </c>
      <c r="BF884">
        <v>0</v>
      </c>
    </row>
    <row r="885" spans="54:58" x14ac:dyDescent="0.25">
      <c r="BB885">
        <v>0</v>
      </c>
      <c r="BC885">
        <v>0</v>
      </c>
      <c r="BD885">
        <v>0</v>
      </c>
      <c r="BE885">
        <v>0</v>
      </c>
      <c r="BF885">
        <v>0</v>
      </c>
    </row>
    <row r="886" spans="54:58" x14ac:dyDescent="0.25">
      <c r="BB886">
        <v>0</v>
      </c>
      <c r="BC886">
        <v>0</v>
      </c>
      <c r="BD886">
        <v>0</v>
      </c>
      <c r="BE886">
        <v>0</v>
      </c>
      <c r="BF886">
        <v>0</v>
      </c>
    </row>
    <row r="887" spans="54:58" x14ac:dyDescent="0.25">
      <c r="BB887">
        <v>0</v>
      </c>
      <c r="BC887">
        <v>0</v>
      </c>
      <c r="BD887">
        <v>0</v>
      </c>
      <c r="BE887">
        <v>0</v>
      </c>
      <c r="BF887">
        <v>0</v>
      </c>
    </row>
    <row r="888" spans="54:58" x14ac:dyDescent="0.25">
      <c r="BB888">
        <v>0</v>
      </c>
      <c r="BC888">
        <v>0</v>
      </c>
      <c r="BD888">
        <v>0</v>
      </c>
      <c r="BE888">
        <v>0</v>
      </c>
      <c r="BF888">
        <v>0</v>
      </c>
    </row>
    <row r="889" spans="54:58" x14ac:dyDescent="0.25">
      <c r="BB889">
        <v>0</v>
      </c>
      <c r="BC889">
        <v>0</v>
      </c>
      <c r="BD889">
        <v>0</v>
      </c>
      <c r="BE889">
        <v>0</v>
      </c>
      <c r="BF889">
        <v>0</v>
      </c>
    </row>
    <row r="890" spans="54:58" x14ac:dyDescent="0.25">
      <c r="BB890">
        <v>0</v>
      </c>
      <c r="BC890">
        <v>0</v>
      </c>
      <c r="BD890">
        <v>0</v>
      </c>
      <c r="BE890">
        <v>0</v>
      </c>
      <c r="BF890">
        <v>0</v>
      </c>
    </row>
    <row r="891" spans="54:58" x14ac:dyDescent="0.25">
      <c r="BB891">
        <v>0</v>
      </c>
      <c r="BC891">
        <v>0</v>
      </c>
      <c r="BD891">
        <v>0</v>
      </c>
      <c r="BE891">
        <v>0</v>
      </c>
      <c r="BF891">
        <v>0</v>
      </c>
    </row>
    <row r="892" spans="54:58" x14ac:dyDescent="0.25">
      <c r="BB892">
        <v>0</v>
      </c>
      <c r="BC892">
        <v>0</v>
      </c>
      <c r="BD892">
        <v>0</v>
      </c>
      <c r="BE892">
        <v>0</v>
      </c>
      <c r="BF892">
        <v>0</v>
      </c>
    </row>
    <row r="893" spans="54:58" x14ac:dyDescent="0.25">
      <c r="BB893">
        <v>0</v>
      </c>
      <c r="BC893">
        <v>0</v>
      </c>
      <c r="BD893">
        <v>0</v>
      </c>
      <c r="BE893">
        <v>0</v>
      </c>
      <c r="BF893">
        <v>0</v>
      </c>
    </row>
    <row r="894" spans="54:58" x14ac:dyDescent="0.25">
      <c r="BB894">
        <v>0</v>
      </c>
      <c r="BC894">
        <v>0</v>
      </c>
      <c r="BD894">
        <v>0</v>
      </c>
      <c r="BE894">
        <v>0</v>
      </c>
      <c r="BF894">
        <v>0</v>
      </c>
    </row>
    <row r="895" spans="54:58" x14ac:dyDescent="0.25">
      <c r="BB895">
        <v>0</v>
      </c>
      <c r="BC895">
        <v>0</v>
      </c>
      <c r="BD895">
        <v>0</v>
      </c>
      <c r="BE895">
        <v>0</v>
      </c>
      <c r="BF895">
        <v>0</v>
      </c>
    </row>
    <row r="896" spans="54:58" x14ac:dyDescent="0.25">
      <c r="BB896">
        <v>0</v>
      </c>
      <c r="BC896">
        <v>0</v>
      </c>
      <c r="BD896">
        <v>0</v>
      </c>
      <c r="BE896">
        <v>0</v>
      </c>
      <c r="BF896">
        <v>0</v>
      </c>
    </row>
    <row r="897" spans="54:58" x14ac:dyDescent="0.25">
      <c r="BB897">
        <v>0</v>
      </c>
      <c r="BC897">
        <v>0</v>
      </c>
      <c r="BD897">
        <v>0</v>
      </c>
      <c r="BE897">
        <v>0</v>
      </c>
      <c r="BF897">
        <v>0</v>
      </c>
    </row>
    <row r="898" spans="54:58" x14ac:dyDescent="0.25">
      <c r="BB898">
        <v>0</v>
      </c>
      <c r="BC898">
        <v>0</v>
      </c>
      <c r="BD898">
        <v>0</v>
      </c>
      <c r="BE898">
        <v>0</v>
      </c>
      <c r="BF898">
        <v>0</v>
      </c>
    </row>
    <row r="899" spans="54:58" x14ac:dyDescent="0.25">
      <c r="BB899">
        <v>0</v>
      </c>
      <c r="BC899">
        <v>0</v>
      </c>
      <c r="BD899">
        <v>0</v>
      </c>
      <c r="BE899">
        <v>0</v>
      </c>
      <c r="BF899">
        <v>0</v>
      </c>
    </row>
    <row r="900" spans="54:58" x14ac:dyDescent="0.25">
      <c r="BB900">
        <v>0</v>
      </c>
      <c r="BC900">
        <v>0</v>
      </c>
      <c r="BD900">
        <v>0</v>
      </c>
      <c r="BE900">
        <v>0</v>
      </c>
      <c r="BF900">
        <v>0</v>
      </c>
    </row>
    <row r="901" spans="54:58" x14ac:dyDescent="0.25">
      <c r="BB901">
        <v>0</v>
      </c>
      <c r="BC901">
        <v>0</v>
      </c>
      <c r="BD901">
        <v>0</v>
      </c>
      <c r="BE901">
        <v>0</v>
      </c>
      <c r="BF901">
        <v>0</v>
      </c>
    </row>
    <row r="902" spans="54:58" x14ac:dyDescent="0.25">
      <c r="BB902">
        <v>0</v>
      </c>
      <c r="BC902">
        <v>0</v>
      </c>
      <c r="BD902">
        <v>0</v>
      </c>
      <c r="BE902">
        <v>0</v>
      </c>
      <c r="BF902">
        <v>0</v>
      </c>
    </row>
    <row r="903" spans="54:58" x14ac:dyDescent="0.25">
      <c r="BB903">
        <v>0</v>
      </c>
      <c r="BC903">
        <v>0</v>
      </c>
      <c r="BD903">
        <v>0</v>
      </c>
      <c r="BE903">
        <v>0</v>
      </c>
      <c r="BF903">
        <v>0</v>
      </c>
    </row>
    <row r="904" spans="54:58" x14ac:dyDescent="0.25">
      <c r="BB904">
        <v>0</v>
      </c>
      <c r="BC904">
        <v>0</v>
      </c>
      <c r="BD904">
        <v>0</v>
      </c>
      <c r="BE904">
        <v>0</v>
      </c>
      <c r="BF904">
        <v>0</v>
      </c>
    </row>
    <row r="905" spans="54:58" x14ac:dyDescent="0.25">
      <c r="BB905">
        <v>0</v>
      </c>
      <c r="BC905">
        <v>0</v>
      </c>
      <c r="BD905">
        <v>0</v>
      </c>
      <c r="BE905">
        <v>0</v>
      </c>
      <c r="BF905">
        <v>0</v>
      </c>
    </row>
    <row r="906" spans="54:58" x14ac:dyDescent="0.25">
      <c r="BB906">
        <v>0</v>
      </c>
      <c r="BC906">
        <v>0</v>
      </c>
      <c r="BD906">
        <v>0</v>
      </c>
      <c r="BE906">
        <v>0</v>
      </c>
      <c r="BF906">
        <v>0</v>
      </c>
    </row>
    <row r="907" spans="54:58" x14ac:dyDescent="0.25">
      <c r="BB907">
        <v>0</v>
      </c>
      <c r="BC907">
        <v>0</v>
      </c>
      <c r="BD907">
        <v>0</v>
      </c>
      <c r="BE907">
        <v>0</v>
      </c>
      <c r="BF907">
        <v>0</v>
      </c>
    </row>
    <row r="908" spans="54:58" x14ac:dyDescent="0.25">
      <c r="BB908">
        <v>0</v>
      </c>
      <c r="BC908">
        <v>0</v>
      </c>
      <c r="BD908">
        <v>0</v>
      </c>
      <c r="BE908">
        <v>0</v>
      </c>
      <c r="BF908">
        <v>0</v>
      </c>
    </row>
    <row r="909" spans="54:58" x14ac:dyDescent="0.25">
      <c r="BB909">
        <v>0</v>
      </c>
      <c r="BC909">
        <v>0</v>
      </c>
      <c r="BD909">
        <v>0</v>
      </c>
      <c r="BE909">
        <v>0</v>
      </c>
      <c r="BF909">
        <v>0</v>
      </c>
    </row>
    <row r="910" spans="54:58" x14ac:dyDescent="0.25">
      <c r="BB910">
        <v>0</v>
      </c>
      <c r="BC910">
        <v>0</v>
      </c>
      <c r="BD910">
        <v>0</v>
      </c>
      <c r="BE910">
        <v>0</v>
      </c>
      <c r="BF910">
        <v>0</v>
      </c>
    </row>
    <row r="911" spans="54:58" x14ac:dyDescent="0.25">
      <c r="BB911">
        <v>0</v>
      </c>
      <c r="BC911">
        <v>0</v>
      </c>
      <c r="BD911">
        <v>0</v>
      </c>
      <c r="BE911">
        <v>0</v>
      </c>
      <c r="BF911">
        <v>0</v>
      </c>
    </row>
    <row r="912" spans="54:58" x14ac:dyDescent="0.25">
      <c r="BB912">
        <v>0</v>
      </c>
      <c r="BC912">
        <v>0</v>
      </c>
      <c r="BD912">
        <v>0</v>
      </c>
      <c r="BE912">
        <v>0</v>
      </c>
      <c r="BF912">
        <v>0</v>
      </c>
    </row>
    <row r="913" spans="54:58" x14ac:dyDescent="0.25">
      <c r="BB913">
        <v>0</v>
      </c>
      <c r="BC913">
        <v>0</v>
      </c>
      <c r="BD913">
        <v>0</v>
      </c>
      <c r="BE913">
        <v>0</v>
      </c>
      <c r="BF913">
        <v>0</v>
      </c>
    </row>
    <row r="914" spans="54:58" x14ac:dyDescent="0.25">
      <c r="BB914">
        <v>0</v>
      </c>
      <c r="BC914">
        <v>0</v>
      </c>
      <c r="BD914">
        <v>0</v>
      </c>
      <c r="BE914">
        <v>0</v>
      </c>
      <c r="BF914">
        <v>0</v>
      </c>
    </row>
    <row r="915" spans="54:58" x14ac:dyDescent="0.25">
      <c r="BB915">
        <v>0</v>
      </c>
      <c r="BC915">
        <v>0</v>
      </c>
      <c r="BD915">
        <v>0</v>
      </c>
      <c r="BE915">
        <v>0</v>
      </c>
      <c r="BF915">
        <v>0</v>
      </c>
    </row>
    <row r="916" spans="54:58" x14ac:dyDescent="0.25">
      <c r="BB916">
        <v>0</v>
      </c>
      <c r="BC916">
        <v>0</v>
      </c>
      <c r="BD916">
        <v>0</v>
      </c>
      <c r="BE916">
        <v>0</v>
      </c>
      <c r="BF916">
        <v>0</v>
      </c>
    </row>
    <row r="917" spans="54:58" x14ac:dyDescent="0.25">
      <c r="BB917">
        <v>0</v>
      </c>
      <c r="BC917">
        <v>0</v>
      </c>
      <c r="BD917">
        <v>0</v>
      </c>
      <c r="BE917">
        <v>0</v>
      </c>
      <c r="BF917">
        <v>0</v>
      </c>
    </row>
    <row r="918" spans="54:58" x14ac:dyDescent="0.25">
      <c r="BB918">
        <v>0</v>
      </c>
      <c r="BC918">
        <v>0</v>
      </c>
      <c r="BD918">
        <v>0</v>
      </c>
      <c r="BE918">
        <v>0</v>
      </c>
      <c r="BF918">
        <v>0</v>
      </c>
    </row>
    <row r="919" spans="54:58" x14ac:dyDescent="0.25">
      <c r="BB919">
        <v>0</v>
      </c>
      <c r="BC919">
        <v>0</v>
      </c>
      <c r="BD919">
        <v>0</v>
      </c>
      <c r="BE919">
        <v>0</v>
      </c>
      <c r="BF919">
        <v>0</v>
      </c>
    </row>
    <row r="920" spans="54:58" x14ac:dyDescent="0.25">
      <c r="BB920">
        <v>0</v>
      </c>
      <c r="BC920">
        <v>0</v>
      </c>
      <c r="BD920">
        <v>0</v>
      </c>
      <c r="BE920">
        <v>0</v>
      </c>
      <c r="BF920">
        <v>0</v>
      </c>
    </row>
    <row r="921" spans="54:58" x14ac:dyDescent="0.25">
      <c r="BB921">
        <v>0</v>
      </c>
      <c r="BC921">
        <v>0</v>
      </c>
      <c r="BD921">
        <v>0</v>
      </c>
      <c r="BE921">
        <v>0</v>
      </c>
      <c r="BF921">
        <v>0</v>
      </c>
    </row>
    <row r="922" spans="54:58" x14ac:dyDescent="0.25">
      <c r="BB922">
        <v>0</v>
      </c>
      <c r="BC922">
        <v>0</v>
      </c>
      <c r="BD922">
        <v>0</v>
      </c>
      <c r="BE922">
        <v>0</v>
      </c>
      <c r="BF922">
        <v>0</v>
      </c>
    </row>
    <row r="923" spans="54:58" x14ac:dyDescent="0.25">
      <c r="BB923">
        <v>0</v>
      </c>
      <c r="BC923">
        <v>0</v>
      </c>
      <c r="BD923">
        <v>0</v>
      </c>
      <c r="BE923">
        <v>0</v>
      </c>
      <c r="BF923">
        <v>0</v>
      </c>
    </row>
    <row r="924" spans="54:58" x14ac:dyDescent="0.25">
      <c r="BB924">
        <v>0</v>
      </c>
      <c r="BC924">
        <v>0</v>
      </c>
      <c r="BD924">
        <v>0</v>
      </c>
      <c r="BE924">
        <v>0</v>
      </c>
      <c r="BF924">
        <v>0</v>
      </c>
    </row>
    <row r="925" spans="54:58" x14ac:dyDescent="0.25">
      <c r="BB925">
        <v>0</v>
      </c>
      <c r="BC925">
        <v>0</v>
      </c>
      <c r="BD925">
        <v>0</v>
      </c>
      <c r="BE925">
        <v>0</v>
      </c>
      <c r="BF925">
        <v>0</v>
      </c>
    </row>
    <row r="926" spans="54:58" x14ac:dyDescent="0.25">
      <c r="BB926">
        <v>0</v>
      </c>
      <c r="BC926">
        <v>0</v>
      </c>
      <c r="BD926">
        <v>0</v>
      </c>
      <c r="BE926">
        <v>0</v>
      </c>
      <c r="BF926">
        <v>0</v>
      </c>
    </row>
    <row r="927" spans="54:58" x14ac:dyDescent="0.25">
      <c r="BB927">
        <v>0</v>
      </c>
      <c r="BC927">
        <v>0</v>
      </c>
      <c r="BD927">
        <v>0</v>
      </c>
      <c r="BE927">
        <v>0</v>
      </c>
      <c r="BF927">
        <v>0</v>
      </c>
    </row>
    <row r="928" spans="54:58" x14ac:dyDescent="0.25">
      <c r="BB928">
        <v>0</v>
      </c>
      <c r="BC928">
        <v>0</v>
      </c>
      <c r="BD928">
        <v>0</v>
      </c>
      <c r="BE928">
        <v>0</v>
      </c>
      <c r="BF928">
        <v>0</v>
      </c>
    </row>
    <row r="929" spans="54:58" x14ac:dyDescent="0.25">
      <c r="BB929">
        <v>0</v>
      </c>
      <c r="BC929">
        <v>0</v>
      </c>
      <c r="BD929">
        <v>0</v>
      </c>
      <c r="BE929">
        <v>0</v>
      </c>
      <c r="BF929">
        <v>0</v>
      </c>
    </row>
    <row r="930" spans="54:58" x14ac:dyDescent="0.25">
      <c r="BB930">
        <v>0</v>
      </c>
      <c r="BC930">
        <v>0</v>
      </c>
      <c r="BD930">
        <v>0</v>
      </c>
      <c r="BE930">
        <v>0</v>
      </c>
      <c r="BF930">
        <v>0</v>
      </c>
    </row>
    <row r="931" spans="54:58" x14ac:dyDescent="0.25">
      <c r="BB931">
        <v>0</v>
      </c>
      <c r="BC931">
        <v>0</v>
      </c>
      <c r="BD931">
        <v>0</v>
      </c>
      <c r="BE931">
        <v>0</v>
      </c>
      <c r="BF931">
        <v>0</v>
      </c>
    </row>
    <row r="932" spans="54:58" x14ac:dyDescent="0.25">
      <c r="BB932">
        <v>0</v>
      </c>
      <c r="BC932">
        <v>0</v>
      </c>
      <c r="BD932">
        <v>0</v>
      </c>
      <c r="BE932">
        <v>0</v>
      </c>
      <c r="BF932">
        <v>0</v>
      </c>
    </row>
    <row r="933" spans="54:58" x14ac:dyDescent="0.25">
      <c r="BB933">
        <v>0</v>
      </c>
      <c r="BC933">
        <v>0</v>
      </c>
      <c r="BD933">
        <v>0</v>
      </c>
      <c r="BE933">
        <v>0</v>
      </c>
      <c r="BF933">
        <v>0</v>
      </c>
    </row>
    <row r="934" spans="54:58" x14ac:dyDescent="0.25">
      <c r="BB934">
        <v>0</v>
      </c>
      <c r="BC934">
        <v>0</v>
      </c>
      <c r="BD934">
        <v>0</v>
      </c>
      <c r="BE934">
        <v>0</v>
      </c>
      <c r="BF934">
        <v>0</v>
      </c>
    </row>
    <row r="935" spans="54:58" x14ac:dyDescent="0.25">
      <c r="BB935">
        <v>0</v>
      </c>
      <c r="BC935">
        <v>0</v>
      </c>
      <c r="BD935">
        <v>0</v>
      </c>
      <c r="BE935">
        <v>0</v>
      </c>
      <c r="BF935">
        <v>0</v>
      </c>
    </row>
    <row r="936" spans="54:58" x14ac:dyDescent="0.25">
      <c r="BB936">
        <v>0</v>
      </c>
      <c r="BC936">
        <v>0</v>
      </c>
      <c r="BD936">
        <v>0</v>
      </c>
      <c r="BE936">
        <v>0</v>
      </c>
      <c r="BF936">
        <v>0</v>
      </c>
    </row>
    <row r="937" spans="54:58" x14ac:dyDescent="0.25">
      <c r="BB937">
        <v>0</v>
      </c>
      <c r="BC937">
        <v>0</v>
      </c>
      <c r="BD937">
        <v>0</v>
      </c>
      <c r="BE937">
        <v>0</v>
      </c>
      <c r="BF937">
        <v>0</v>
      </c>
    </row>
    <row r="938" spans="54:58" x14ac:dyDescent="0.25">
      <c r="BB938">
        <v>0</v>
      </c>
      <c r="BC938">
        <v>0</v>
      </c>
      <c r="BD938">
        <v>0</v>
      </c>
      <c r="BE938">
        <v>0</v>
      </c>
      <c r="BF938">
        <v>0</v>
      </c>
    </row>
    <row r="939" spans="54:58" x14ac:dyDescent="0.25">
      <c r="BB939">
        <v>0</v>
      </c>
      <c r="BC939">
        <v>0</v>
      </c>
      <c r="BD939">
        <v>0</v>
      </c>
      <c r="BE939">
        <v>0</v>
      </c>
      <c r="BF939">
        <v>0</v>
      </c>
    </row>
    <row r="940" spans="54:58" x14ac:dyDescent="0.25">
      <c r="BB940">
        <v>0</v>
      </c>
      <c r="BC940">
        <v>0</v>
      </c>
      <c r="BD940">
        <v>0</v>
      </c>
      <c r="BE940">
        <v>0</v>
      </c>
      <c r="BF940">
        <v>0</v>
      </c>
    </row>
    <row r="941" spans="54:58" x14ac:dyDescent="0.25">
      <c r="BB941">
        <v>0</v>
      </c>
      <c r="BC941">
        <v>0</v>
      </c>
      <c r="BD941">
        <v>0</v>
      </c>
      <c r="BE941">
        <v>0</v>
      </c>
      <c r="BF941">
        <v>0</v>
      </c>
    </row>
    <row r="942" spans="54:58" x14ac:dyDescent="0.25">
      <c r="BB942">
        <v>0</v>
      </c>
      <c r="BC942">
        <v>0</v>
      </c>
      <c r="BD942">
        <v>0</v>
      </c>
      <c r="BE942">
        <v>0</v>
      </c>
      <c r="BF942">
        <v>0</v>
      </c>
    </row>
    <row r="943" spans="54:58" x14ac:dyDescent="0.25">
      <c r="BB943">
        <v>0</v>
      </c>
      <c r="BC943">
        <v>0</v>
      </c>
      <c r="BD943">
        <v>0</v>
      </c>
      <c r="BE943">
        <v>0</v>
      </c>
      <c r="BF943">
        <v>0</v>
      </c>
    </row>
    <row r="944" spans="54:58" x14ac:dyDescent="0.25">
      <c r="BB944">
        <v>0</v>
      </c>
      <c r="BC944">
        <v>0</v>
      </c>
      <c r="BD944">
        <v>0</v>
      </c>
      <c r="BE944">
        <v>0</v>
      </c>
      <c r="BF944">
        <v>0</v>
      </c>
    </row>
    <row r="945" spans="54:58" x14ac:dyDescent="0.25">
      <c r="BB945">
        <v>0</v>
      </c>
      <c r="BC945">
        <v>0</v>
      </c>
      <c r="BD945">
        <v>0</v>
      </c>
      <c r="BE945">
        <v>0</v>
      </c>
      <c r="BF945">
        <v>0</v>
      </c>
    </row>
    <row r="946" spans="54:58" x14ac:dyDescent="0.25">
      <c r="BB946">
        <v>0</v>
      </c>
      <c r="BC946">
        <v>0</v>
      </c>
      <c r="BD946">
        <v>0</v>
      </c>
      <c r="BE946">
        <v>0</v>
      </c>
      <c r="BF946">
        <v>0</v>
      </c>
    </row>
    <row r="947" spans="54:58" x14ac:dyDescent="0.25">
      <c r="BB947">
        <v>0</v>
      </c>
      <c r="BC947">
        <v>0</v>
      </c>
      <c r="BD947">
        <v>0</v>
      </c>
      <c r="BE947">
        <v>0</v>
      </c>
      <c r="BF947">
        <v>0</v>
      </c>
    </row>
    <row r="948" spans="54:58" x14ac:dyDescent="0.25">
      <c r="BB948">
        <v>0</v>
      </c>
      <c r="BC948">
        <v>0</v>
      </c>
      <c r="BD948">
        <v>0</v>
      </c>
      <c r="BE948">
        <v>0</v>
      </c>
      <c r="BF948">
        <v>0</v>
      </c>
    </row>
    <row r="949" spans="54:58" x14ac:dyDescent="0.25">
      <c r="BB949">
        <v>0</v>
      </c>
      <c r="BC949">
        <v>0</v>
      </c>
      <c r="BD949">
        <v>0</v>
      </c>
      <c r="BE949">
        <v>0</v>
      </c>
      <c r="BF949">
        <v>0</v>
      </c>
    </row>
    <row r="950" spans="54:58" x14ac:dyDescent="0.25">
      <c r="BB950">
        <v>0</v>
      </c>
      <c r="BC950">
        <v>0</v>
      </c>
      <c r="BD950">
        <v>0</v>
      </c>
      <c r="BE950">
        <v>0</v>
      </c>
      <c r="BF950">
        <v>0</v>
      </c>
    </row>
    <row r="951" spans="54:58" x14ac:dyDescent="0.25">
      <c r="BB951">
        <v>0</v>
      </c>
      <c r="BC951">
        <v>0</v>
      </c>
      <c r="BD951">
        <v>0</v>
      </c>
      <c r="BE951">
        <v>0</v>
      </c>
      <c r="BF951">
        <v>0</v>
      </c>
    </row>
    <row r="952" spans="54:58" x14ac:dyDescent="0.25">
      <c r="BB952">
        <v>0</v>
      </c>
      <c r="BC952">
        <v>0</v>
      </c>
      <c r="BD952">
        <v>0</v>
      </c>
      <c r="BE952">
        <v>0</v>
      </c>
      <c r="BF952">
        <v>0</v>
      </c>
    </row>
    <row r="953" spans="54:58" x14ac:dyDescent="0.25">
      <c r="BB953">
        <v>0</v>
      </c>
      <c r="BC953">
        <v>0</v>
      </c>
      <c r="BD953">
        <v>0</v>
      </c>
      <c r="BE953">
        <v>0</v>
      </c>
      <c r="BF953">
        <v>0</v>
      </c>
    </row>
    <row r="954" spans="54:58" x14ac:dyDescent="0.25">
      <c r="BB954">
        <v>0</v>
      </c>
      <c r="BC954">
        <v>0</v>
      </c>
      <c r="BD954">
        <v>0</v>
      </c>
      <c r="BE954">
        <v>0</v>
      </c>
      <c r="BF954">
        <v>0</v>
      </c>
    </row>
    <row r="955" spans="54:58" x14ac:dyDescent="0.25">
      <c r="BB955">
        <v>0</v>
      </c>
      <c r="BC955">
        <v>0</v>
      </c>
      <c r="BD955">
        <v>0</v>
      </c>
      <c r="BE955">
        <v>0</v>
      </c>
      <c r="BF955">
        <v>0</v>
      </c>
    </row>
    <row r="956" spans="54:58" x14ac:dyDescent="0.25">
      <c r="BB956">
        <v>0</v>
      </c>
      <c r="BC956">
        <v>0</v>
      </c>
      <c r="BD956">
        <v>0</v>
      </c>
      <c r="BE956">
        <v>0</v>
      </c>
      <c r="BF956">
        <v>0</v>
      </c>
    </row>
    <row r="957" spans="54:58" x14ac:dyDescent="0.25">
      <c r="BB957">
        <v>0</v>
      </c>
      <c r="BC957">
        <v>0</v>
      </c>
      <c r="BD957">
        <v>0</v>
      </c>
      <c r="BE957">
        <v>0</v>
      </c>
      <c r="BF957">
        <v>0</v>
      </c>
    </row>
    <row r="958" spans="54:58" x14ac:dyDescent="0.25">
      <c r="BB958">
        <v>0</v>
      </c>
      <c r="BC958">
        <v>0</v>
      </c>
      <c r="BD958">
        <v>0</v>
      </c>
      <c r="BE958">
        <v>0</v>
      </c>
      <c r="BF958">
        <v>0</v>
      </c>
    </row>
    <row r="959" spans="54:58" x14ac:dyDescent="0.25">
      <c r="BB959">
        <v>0</v>
      </c>
      <c r="BC959">
        <v>0</v>
      </c>
      <c r="BD959">
        <v>0</v>
      </c>
      <c r="BE959">
        <v>0</v>
      </c>
      <c r="BF959">
        <v>0</v>
      </c>
    </row>
    <row r="960" spans="54:58" x14ac:dyDescent="0.25">
      <c r="BB960">
        <v>0</v>
      </c>
      <c r="BC960">
        <v>0</v>
      </c>
      <c r="BD960">
        <v>0</v>
      </c>
      <c r="BE960">
        <v>0</v>
      </c>
      <c r="BF960">
        <v>0</v>
      </c>
    </row>
    <row r="961" spans="54:58" x14ac:dyDescent="0.25">
      <c r="BB961">
        <v>0</v>
      </c>
      <c r="BC961">
        <v>0</v>
      </c>
      <c r="BD961">
        <v>0</v>
      </c>
      <c r="BE961">
        <v>0</v>
      </c>
      <c r="BF961">
        <v>0</v>
      </c>
    </row>
    <row r="962" spans="54:58" x14ac:dyDescent="0.25">
      <c r="BB962">
        <v>0</v>
      </c>
      <c r="BC962">
        <v>0</v>
      </c>
      <c r="BD962">
        <v>0</v>
      </c>
      <c r="BE962">
        <v>0</v>
      </c>
      <c r="BF962">
        <v>0</v>
      </c>
    </row>
    <row r="963" spans="54:58" x14ac:dyDescent="0.25">
      <c r="BB963">
        <v>0</v>
      </c>
      <c r="BC963">
        <v>0</v>
      </c>
      <c r="BD963">
        <v>0</v>
      </c>
      <c r="BE963">
        <v>0</v>
      </c>
      <c r="BF963">
        <v>0</v>
      </c>
    </row>
    <row r="964" spans="54:58" x14ac:dyDescent="0.25">
      <c r="BB964">
        <v>0</v>
      </c>
      <c r="BC964">
        <v>0</v>
      </c>
      <c r="BD964">
        <v>0</v>
      </c>
      <c r="BE964">
        <v>0</v>
      </c>
      <c r="BF964">
        <v>0</v>
      </c>
    </row>
    <row r="965" spans="54:58" x14ac:dyDescent="0.25">
      <c r="BB965">
        <v>0</v>
      </c>
      <c r="BC965">
        <v>0</v>
      </c>
      <c r="BD965">
        <v>0</v>
      </c>
      <c r="BE965">
        <v>0</v>
      </c>
      <c r="BF965">
        <v>0</v>
      </c>
    </row>
    <row r="966" spans="54:58" x14ac:dyDescent="0.25">
      <c r="BB966">
        <v>0</v>
      </c>
      <c r="BC966">
        <v>0</v>
      </c>
      <c r="BD966">
        <v>0</v>
      </c>
      <c r="BE966">
        <v>0</v>
      </c>
      <c r="BF966">
        <v>0</v>
      </c>
    </row>
    <row r="967" spans="54:58" x14ac:dyDescent="0.25">
      <c r="BB967">
        <v>0</v>
      </c>
      <c r="BC967">
        <v>0</v>
      </c>
      <c r="BD967">
        <v>0</v>
      </c>
      <c r="BE967">
        <v>0</v>
      </c>
      <c r="BF967">
        <v>0</v>
      </c>
    </row>
    <row r="968" spans="54:58" x14ac:dyDescent="0.25">
      <c r="BB968">
        <v>0</v>
      </c>
      <c r="BC968">
        <v>0</v>
      </c>
      <c r="BD968">
        <v>0</v>
      </c>
      <c r="BE968">
        <v>0</v>
      </c>
      <c r="BF968">
        <v>0</v>
      </c>
    </row>
    <row r="969" spans="54:58" x14ac:dyDescent="0.25">
      <c r="BB969">
        <v>0</v>
      </c>
      <c r="BC969">
        <v>0</v>
      </c>
      <c r="BD969">
        <v>0</v>
      </c>
      <c r="BE969">
        <v>0</v>
      </c>
      <c r="BF969">
        <v>0</v>
      </c>
    </row>
    <row r="970" spans="54:58" x14ac:dyDescent="0.25">
      <c r="BB970">
        <v>0</v>
      </c>
      <c r="BC970">
        <v>0</v>
      </c>
      <c r="BD970">
        <v>0</v>
      </c>
      <c r="BE970">
        <v>0</v>
      </c>
      <c r="BF970">
        <v>0</v>
      </c>
    </row>
    <row r="971" spans="54:58" x14ac:dyDescent="0.25">
      <c r="BB971">
        <v>0</v>
      </c>
      <c r="BC971">
        <v>0</v>
      </c>
      <c r="BD971">
        <v>0</v>
      </c>
      <c r="BE971">
        <v>0</v>
      </c>
      <c r="BF971">
        <v>0</v>
      </c>
    </row>
    <row r="972" spans="54:58" x14ac:dyDescent="0.25">
      <c r="BB972">
        <v>0</v>
      </c>
      <c r="BC972">
        <v>0</v>
      </c>
      <c r="BD972">
        <v>0</v>
      </c>
      <c r="BE972">
        <v>0</v>
      </c>
      <c r="BF972">
        <v>0</v>
      </c>
    </row>
    <row r="973" spans="54:58" x14ac:dyDescent="0.25">
      <c r="BB973">
        <v>0</v>
      </c>
      <c r="BC973">
        <v>0</v>
      </c>
      <c r="BD973">
        <v>0</v>
      </c>
      <c r="BE973">
        <v>0</v>
      </c>
      <c r="BF973">
        <v>0</v>
      </c>
    </row>
    <row r="974" spans="54:58" x14ac:dyDescent="0.25">
      <c r="BB974">
        <v>0</v>
      </c>
      <c r="BC974">
        <v>0</v>
      </c>
      <c r="BD974">
        <v>0</v>
      </c>
      <c r="BE974">
        <v>0</v>
      </c>
      <c r="BF974">
        <v>0</v>
      </c>
    </row>
    <row r="975" spans="54:58" x14ac:dyDescent="0.25">
      <c r="BB975">
        <v>0</v>
      </c>
      <c r="BC975">
        <v>0</v>
      </c>
      <c r="BD975">
        <v>0</v>
      </c>
      <c r="BE975">
        <v>0</v>
      </c>
      <c r="BF975">
        <v>0</v>
      </c>
    </row>
    <row r="976" spans="54:58" x14ac:dyDescent="0.25">
      <c r="BB976">
        <v>0</v>
      </c>
      <c r="BC976">
        <v>0</v>
      </c>
      <c r="BD976">
        <v>0</v>
      </c>
      <c r="BE976">
        <v>0</v>
      </c>
      <c r="BF976">
        <v>0</v>
      </c>
    </row>
    <row r="977" spans="54:58" x14ac:dyDescent="0.25">
      <c r="BB977">
        <v>0</v>
      </c>
      <c r="BC977">
        <v>0</v>
      </c>
      <c r="BD977">
        <v>0</v>
      </c>
      <c r="BE977">
        <v>0</v>
      </c>
      <c r="BF977">
        <v>0</v>
      </c>
    </row>
    <row r="978" spans="54:58" x14ac:dyDescent="0.25">
      <c r="BB978">
        <v>0</v>
      </c>
      <c r="BC978">
        <v>0</v>
      </c>
      <c r="BD978">
        <v>0</v>
      </c>
      <c r="BE978">
        <v>0</v>
      </c>
      <c r="BF978">
        <v>0</v>
      </c>
    </row>
    <row r="979" spans="54:58" x14ac:dyDescent="0.25">
      <c r="BB979">
        <v>0</v>
      </c>
      <c r="BC979">
        <v>0</v>
      </c>
      <c r="BD979">
        <v>0</v>
      </c>
      <c r="BE979">
        <v>0</v>
      </c>
      <c r="BF979">
        <v>0</v>
      </c>
    </row>
    <row r="980" spans="54:58" x14ac:dyDescent="0.25">
      <c r="BB980">
        <v>0</v>
      </c>
      <c r="BC980">
        <v>0</v>
      </c>
      <c r="BD980">
        <v>0</v>
      </c>
      <c r="BE980">
        <v>0</v>
      </c>
      <c r="BF980">
        <v>0</v>
      </c>
    </row>
    <row r="981" spans="54:58" x14ac:dyDescent="0.25">
      <c r="BB981">
        <v>0</v>
      </c>
      <c r="BC981">
        <v>0</v>
      </c>
      <c r="BD981">
        <v>0</v>
      </c>
      <c r="BE981">
        <v>0</v>
      </c>
      <c r="BF981">
        <v>0</v>
      </c>
    </row>
    <row r="982" spans="54:58" x14ac:dyDescent="0.25">
      <c r="BB982">
        <v>0</v>
      </c>
      <c r="BC982">
        <v>0</v>
      </c>
      <c r="BD982">
        <v>0</v>
      </c>
      <c r="BE982">
        <v>0</v>
      </c>
      <c r="BF982">
        <v>0</v>
      </c>
    </row>
    <row r="983" spans="54:58" x14ac:dyDescent="0.25">
      <c r="BB983">
        <v>0</v>
      </c>
      <c r="BC983">
        <v>0</v>
      </c>
      <c r="BD983">
        <v>0</v>
      </c>
      <c r="BE983">
        <v>0</v>
      </c>
      <c r="BF983">
        <v>0</v>
      </c>
    </row>
    <row r="984" spans="54:58" x14ac:dyDescent="0.25">
      <c r="BB984">
        <v>0</v>
      </c>
      <c r="BC984">
        <v>0</v>
      </c>
      <c r="BD984">
        <v>0</v>
      </c>
      <c r="BE984">
        <v>0</v>
      </c>
      <c r="BF984">
        <v>0</v>
      </c>
    </row>
    <row r="985" spans="54:58" x14ac:dyDescent="0.25">
      <c r="BB985">
        <v>0</v>
      </c>
      <c r="BC985">
        <v>0</v>
      </c>
      <c r="BD985">
        <v>0</v>
      </c>
      <c r="BE985">
        <v>0</v>
      </c>
      <c r="BF985">
        <v>0</v>
      </c>
    </row>
    <row r="986" spans="54:58" x14ac:dyDescent="0.25">
      <c r="BB986">
        <v>0</v>
      </c>
      <c r="BC986">
        <v>0</v>
      </c>
      <c r="BD986">
        <v>0</v>
      </c>
      <c r="BE986">
        <v>0</v>
      </c>
      <c r="BF986">
        <v>0</v>
      </c>
    </row>
    <row r="987" spans="54:58" x14ac:dyDescent="0.25">
      <c r="BB987">
        <v>0</v>
      </c>
      <c r="BC987">
        <v>0</v>
      </c>
      <c r="BD987">
        <v>0</v>
      </c>
      <c r="BE987">
        <v>0</v>
      </c>
      <c r="BF987">
        <v>0</v>
      </c>
    </row>
    <row r="988" spans="54:58" x14ac:dyDescent="0.25">
      <c r="BB988">
        <v>0</v>
      </c>
      <c r="BC988">
        <v>0</v>
      </c>
      <c r="BD988">
        <v>0</v>
      </c>
      <c r="BE988">
        <v>0</v>
      </c>
      <c r="BF988">
        <v>0</v>
      </c>
    </row>
    <row r="989" spans="54:58" x14ac:dyDescent="0.25">
      <c r="BB989">
        <v>0</v>
      </c>
      <c r="BC989">
        <v>0</v>
      </c>
      <c r="BD989">
        <v>0</v>
      </c>
      <c r="BE989">
        <v>0</v>
      </c>
      <c r="BF989">
        <v>0</v>
      </c>
    </row>
    <row r="990" spans="54:58" x14ac:dyDescent="0.25">
      <c r="BB990">
        <v>0</v>
      </c>
      <c r="BC990">
        <v>0</v>
      </c>
      <c r="BD990">
        <v>0</v>
      </c>
      <c r="BE990">
        <v>0</v>
      </c>
      <c r="BF990">
        <v>0</v>
      </c>
    </row>
    <row r="991" spans="54:58" x14ac:dyDescent="0.25">
      <c r="BB991">
        <v>0</v>
      </c>
      <c r="BC991">
        <v>0</v>
      </c>
      <c r="BD991">
        <v>0</v>
      </c>
      <c r="BE991">
        <v>0</v>
      </c>
      <c r="BF991">
        <v>0</v>
      </c>
    </row>
    <row r="992" spans="54:58" x14ac:dyDescent="0.25">
      <c r="BB992">
        <v>0</v>
      </c>
      <c r="BC992">
        <v>0</v>
      </c>
      <c r="BD992">
        <v>0</v>
      </c>
      <c r="BE992">
        <v>0</v>
      </c>
      <c r="BF992">
        <v>0</v>
      </c>
    </row>
    <row r="993" spans="54:58" x14ac:dyDescent="0.25">
      <c r="BB993">
        <v>0</v>
      </c>
      <c r="BC993">
        <v>0</v>
      </c>
      <c r="BD993">
        <v>0</v>
      </c>
      <c r="BE993">
        <v>0</v>
      </c>
      <c r="BF993">
        <v>0</v>
      </c>
    </row>
    <row r="994" spans="54:58" x14ac:dyDescent="0.25">
      <c r="BB994">
        <v>0</v>
      </c>
      <c r="BC994">
        <v>0</v>
      </c>
      <c r="BD994">
        <v>0</v>
      </c>
      <c r="BE994">
        <v>0</v>
      </c>
      <c r="BF994">
        <v>0</v>
      </c>
    </row>
    <row r="995" spans="54:58" x14ac:dyDescent="0.25">
      <c r="BB995">
        <v>0</v>
      </c>
      <c r="BC995">
        <v>0</v>
      </c>
      <c r="BD995">
        <v>0</v>
      </c>
      <c r="BE995">
        <v>0</v>
      </c>
      <c r="BF995">
        <v>0</v>
      </c>
    </row>
    <row r="996" spans="54:58" x14ac:dyDescent="0.25">
      <c r="BB996">
        <v>0</v>
      </c>
      <c r="BC996">
        <v>0</v>
      </c>
      <c r="BD996">
        <v>0</v>
      </c>
      <c r="BE996">
        <v>0</v>
      </c>
      <c r="BF996">
        <v>0</v>
      </c>
    </row>
    <row r="997" spans="54:58" x14ac:dyDescent="0.25">
      <c r="BB997">
        <v>0</v>
      </c>
      <c r="BC997">
        <v>0</v>
      </c>
      <c r="BD997">
        <v>0</v>
      </c>
      <c r="BE997">
        <v>0</v>
      </c>
      <c r="BF997">
        <v>0</v>
      </c>
    </row>
    <row r="998" spans="54:58" x14ac:dyDescent="0.25">
      <c r="BB998">
        <v>0</v>
      </c>
      <c r="BC998">
        <v>0</v>
      </c>
      <c r="BD998">
        <v>0</v>
      </c>
      <c r="BE998">
        <v>0</v>
      </c>
      <c r="BF998">
        <v>0</v>
      </c>
    </row>
    <row r="999" spans="54:58" x14ac:dyDescent="0.25">
      <c r="BB999">
        <v>0</v>
      </c>
      <c r="BC999">
        <v>0</v>
      </c>
      <c r="BD999">
        <v>0</v>
      </c>
      <c r="BE999">
        <v>0</v>
      </c>
      <c r="BF999">
        <v>0</v>
      </c>
    </row>
    <row r="1000" spans="54:58" x14ac:dyDescent="0.25">
      <c r="BB1000">
        <v>0</v>
      </c>
      <c r="BC1000">
        <v>0</v>
      </c>
      <c r="BD1000">
        <v>0</v>
      </c>
      <c r="BE1000">
        <v>0</v>
      </c>
      <c r="BF1000">
        <v>0</v>
      </c>
    </row>
    <row r="1001" spans="54:58" x14ac:dyDescent="0.25">
      <c r="BB1001">
        <v>0</v>
      </c>
      <c r="BC1001">
        <v>0</v>
      </c>
      <c r="BD1001">
        <v>0</v>
      </c>
      <c r="BE1001">
        <v>0</v>
      </c>
      <c r="BF1001">
        <v>0</v>
      </c>
    </row>
    <row r="1002" spans="54:58" x14ac:dyDescent="0.25">
      <c r="BB1002">
        <v>0</v>
      </c>
      <c r="BC1002">
        <v>0</v>
      </c>
      <c r="BD1002">
        <v>0</v>
      </c>
      <c r="BE1002">
        <v>0</v>
      </c>
      <c r="BF1002">
        <v>0</v>
      </c>
    </row>
    <row r="1003" spans="54:58" x14ac:dyDescent="0.25">
      <c r="BB1003">
        <v>0</v>
      </c>
      <c r="BC1003">
        <v>0</v>
      </c>
      <c r="BD1003">
        <v>0</v>
      </c>
      <c r="BE1003">
        <v>0</v>
      </c>
      <c r="BF1003">
        <v>0</v>
      </c>
    </row>
    <row r="1004" spans="54:58" x14ac:dyDescent="0.25">
      <c r="BB1004">
        <v>0</v>
      </c>
      <c r="BC1004">
        <v>0</v>
      </c>
      <c r="BD1004">
        <v>0</v>
      </c>
      <c r="BE1004">
        <v>0</v>
      </c>
      <c r="BF1004">
        <v>0</v>
      </c>
    </row>
    <row r="1005" spans="54:58" x14ac:dyDescent="0.25">
      <c r="BB1005">
        <v>0</v>
      </c>
      <c r="BC1005">
        <v>0</v>
      </c>
      <c r="BD1005">
        <v>0</v>
      </c>
      <c r="BE1005">
        <v>0</v>
      </c>
      <c r="BF1005">
        <v>0</v>
      </c>
    </row>
    <row r="1006" spans="54:58" x14ac:dyDescent="0.25">
      <c r="BB1006">
        <v>0</v>
      </c>
      <c r="BC1006">
        <v>0</v>
      </c>
      <c r="BD1006">
        <v>0</v>
      </c>
      <c r="BE1006">
        <v>0</v>
      </c>
      <c r="BF1006">
        <v>0</v>
      </c>
    </row>
    <row r="1007" spans="54:58" x14ac:dyDescent="0.25">
      <c r="BB1007">
        <v>0</v>
      </c>
      <c r="BC1007">
        <v>0</v>
      </c>
      <c r="BD1007">
        <v>0</v>
      </c>
      <c r="BE1007">
        <v>0</v>
      </c>
      <c r="BF1007">
        <v>0</v>
      </c>
    </row>
    <row r="1008" spans="54:58" x14ac:dyDescent="0.25">
      <c r="BB1008">
        <v>0</v>
      </c>
      <c r="BC1008">
        <v>0</v>
      </c>
      <c r="BD1008">
        <v>0</v>
      </c>
      <c r="BE1008">
        <v>0</v>
      </c>
      <c r="BF1008">
        <v>0</v>
      </c>
    </row>
    <row r="1009" spans="54:58" x14ac:dyDescent="0.25">
      <c r="BB1009">
        <v>0</v>
      </c>
      <c r="BC1009">
        <v>0</v>
      </c>
      <c r="BD1009">
        <v>0</v>
      </c>
      <c r="BE1009">
        <v>0</v>
      </c>
      <c r="BF1009">
        <v>0</v>
      </c>
    </row>
    <row r="1010" spans="54:58" x14ac:dyDescent="0.25">
      <c r="BB1010">
        <v>0</v>
      </c>
      <c r="BC1010">
        <v>0</v>
      </c>
      <c r="BD1010">
        <v>0</v>
      </c>
      <c r="BE1010">
        <v>0</v>
      </c>
      <c r="BF1010">
        <v>0</v>
      </c>
    </row>
    <row r="1011" spans="54:58" x14ac:dyDescent="0.25">
      <c r="BB1011">
        <v>0</v>
      </c>
      <c r="BC1011">
        <v>0</v>
      </c>
      <c r="BD1011">
        <v>0</v>
      </c>
      <c r="BE1011">
        <v>0</v>
      </c>
      <c r="BF1011">
        <v>0</v>
      </c>
    </row>
    <row r="1012" spans="54:58" x14ac:dyDescent="0.25">
      <c r="BB1012">
        <v>0</v>
      </c>
      <c r="BC1012">
        <v>0</v>
      </c>
      <c r="BD1012">
        <v>0</v>
      </c>
      <c r="BE1012">
        <v>0</v>
      </c>
      <c r="BF1012">
        <v>0</v>
      </c>
    </row>
    <row r="1013" spans="54:58" x14ac:dyDescent="0.25">
      <c r="BB1013">
        <v>0</v>
      </c>
      <c r="BC1013">
        <v>0</v>
      </c>
      <c r="BD1013">
        <v>0</v>
      </c>
      <c r="BE1013">
        <v>0</v>
      </c>
      <c r="BF1013">
        <v>0</v>
      </c>
    </row>
    <row r="1014" spans="54:58" x14ac:dyDescent="0.25">
      <c r="BB1014">
        <v>0</v>
      </c>
      <c r="BC1014">
        <v>0</v>
      </c>
      <c r="BD1014">
        <v>0</v>
      </c>
      <c r="BE1014">
        <v>0</v>
      </c>
      <c r="BF1014">
        <v>0</v>
      </c>
    </row>
    <row r="1015" spans="54:58" x14ac:dyDescent="0.25">
      <c r="BB1015">
        <v>0</v>
      </c>
      <c r="BC1015">
        <v>0</v>
      </c>
      <c r="BD1015">
        <v>0</v>
      </c>
      <c r="BE1015">
        <v>0</v>
      </c>
      <c r="BF1015">
        <v>0</v>
      </c>
    </row>
    <row r="1016" spans="54:58" x14ac:dyDescent="0.25">
      <c r="BB1016">
        <v>0</v>
      </c>
      <c r="BC1016">
        <v>0</v>
      </c>
      <c r="BD1016">
        <v>0</v>
      </c>
      <c r="BE1016">
        <v>0</v>
      </c>
      <c r="BF1016">
        <v>0</v>
      </c>
    </row>
    <row r="1017" spans="54:58" x14ac:dyDescent="0.25">
      <c r="BB1017">
        <v>0</v>
      </c>
      <c r="BC1017">
        <v>0</v>
      </c>
      <c r="BD1017">
        <v>0</v>
      </c>
      <c r="BE1017">
        <v>0</v>
      </c>
      <c r="BF1017">
        <v>0</v>
      </c>
    </row>
    <row r="1018" spans="54:58" x14ac:dyDescent="0.25">
      <c r="BB1018">
        <v>0</v>
      </c>
      <c r="BC1018">
        <v>0</v>
      </c>
      <c r="BD1018">
        <v>0</v>
      </c>
      <c r="BE1018">
        <v>0</v>
      </c>
      <c r="BF1018">
        <v>0</v>
      </c>
    </row>
    <row r="1019" spans="54:58" x14ac:dyDescent="0.25">
      <c r="BB1019">
        <v>0</v>
      </c>
      <c r="BC1019">
        <v>0</v>
      </c>
      <c r="BD1019">
        <v>0</v>
      </c>
      <c r="BE1019">
        <v>0</v>
      </c>
      <c r="BF1019">
        <v>0</v>
      </c>
    </row>
    <row r="1020" spans="54:58" x14ac:dyDescent="0.25">
      <c r="BB1020">
        <v>0</v>
      </c>
      <c r="BC1020">
        <v>0</v>
      </c>
      <c r="BD1020">
        <v>0</v>
      </c>
      <c r="BE1020">
        <v>0</v>
      </c>
      <c r="BF1020">
        <v>0</v>
      </c>
    </row>
    <row r="1021" spans="54:58" x14ac:dyDescent="0.25">
      <c r="BB1021">
        <v>0</v>
      </c>
      <c r="BC1021">
        <v>0</v>
      </c>
      <c r="BD1021">
        <v>0</v>
      </c>
      <c r="BE1021">
        <v>0</v>
      </c>
      <c r="BF1021">
        <v>0</v>
      </c>
    </row>
    <row r="1022" spans="54:58" x14ac:dyDescent="0.25">
      <c r="BB1022">
        <v>0</v>
      </c>
      <c r="BC1022">
        <v>0</v>
      </c>
      <c r="BD1022">
        <v>0</v>
      </c>
      <c r="BE1022">
        <v>0</v>
      </c>
      <c r="BF1022">
        <v>0</v>
      </c>
    </row>
    <row r="1023" spans="54:58" x14ac:dyDescent="0.25">
      <c r="BB1023">
        <v>0</v>
      </c>
      <c r="BC1023">
        <v>0</v>
      </c>
      <c r="BD1023">
        <v>0</v>
      </c>
      <c r="BE1023">
        <v>0</v>
      </c>
      <c r="BF1023">
        <v>0</v>
      </c>
    </row>
    <row r="1024" spans="54:58" x14ac:dyDescent="0.25">
      <c r="BB1024">
        <v>0</v>
      </c>
      <c r="BC1024">
        <v>0</v>
      </c>
      <c r="BD1024">
        <v>0</v>
      </c>
      <c r="BE1024">
        <v>0</v>
      </c>
      <c r="BF1024">
        <v>0</v>
      </c>
    </row>
    <row r="1025" spans="54:58" x14ac:dyDescent="0.25">
      <c r="BB1025">
        <v>0</v>
      </c>
      <c r="BC1025">
        <v>0</v>
      </c>
      <c r="BD1025">
        <v>0</v>
      </c>
      <c r="BE1025">
        <v>0</v>
      </c>
      <c r="BF1025">
        <v>0</v>
      </c>
    </row>
    <row r="1026" spans="54:58" x14ac:dyDescent="0.25">
      <c r="BB1026">
        <v>0</v>
      </c>
      <c r="BC1026">
        <v>0</v>
      </c>
      <c r="BD1026">
        <v>0</v>
      </c>
      <c r="BE1026">
        <v>0</v>
      </c>
      <c r="BF1026">
        <v>0</v>
      </c>
    </row>
    <row r="1027" spans="54:58" x14ac:dyDescent="0.25">
      <c r="BB1027">
        <v>0</v>
      </c>
      <c r="BC1027">
        <v>0</v>
      </c>
      <c r="BD1027">
        <v>0</v>
      </c>
      <c r="BE1027">
        <v>0</v>
      </c>
      <c r="BF1027">
        <v>0</v>
      </c>
    </row>
    <row r="1028" spans="54:58" x14ac:dyDescent="0.25">
      <c r="BB1028">
        <v>0</v>
      </c>
      <c r="BC1028">
        <v>0</v>
      </c>
      <c r="BD1028">
        <v>0</v>
      </c>
      <c r="BE1028">
        <v>0</v>
      </c>
      <c r="BF1028">
        <v>0</v>
      </c>
    </row>
    <row r="1029" spans="54:58" x14ac:dyDescent="0.25">
      <c r="BB1029">
        <v>0</v>
      </c>
      <c r="BC1029">
        <v>0</v>
      </c>
      <c r="BD1029">
        <v>0</v>
      </c>
      <c r="BE1029">
        <v>0</v>
      </c>
      <c r="BF1029">
        <v>0</v>
      </c>
    </row>
    <row r="1030" spans="54:58" x14ac:dyDescent="0.25">
      <c r="BB1030">
        <v>0</v>
      </c>
      <c r="BC1030">
        <v>0</v>
      </c>
      <c r="BD1030">
        <v>0</v>
      </c>
      <c r="BE1030">
        <v>0</v>
      </c>
      <c r="BF1030">
        <v>0</v>
      </c>
    </row>
    <row r="1031" spans="54:58" x14ac:dyDescent="0.25">
      <c r="BB1031">
        <v>0</v>
      </c>
      <c r="BC1031">
        <v>0</v>
      </c>
      <c r="BD1031">
        <v>0</v>
      </c>
      <c r="BE1031">
        <v>0</v>
      </c>
      <c r="BF1031">
        <v>0</v>
      </c>
    </row>
    <row r="1032" spans="54:58" x14ac:dyDescent="0.25">
      <c r="BB1032">
        <v>0</v>
      </c>
      <c r="BC1032">
        <v>0</v>
      </c>
      <c r="BD1032">
        <v>0</v>
      </c>
      <c r="BE1032">
        <v>0</v>
      </c>
      <c r="BF103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2021-04-30T08:27:31Z</dcterms:created>
  <dcterms:modified xsi:type="dcterms:W3CDTF">2021-04-30T09:24:53Z</dcterms:modified>
</cp:coreProperties>
</file>